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O+z0nNZMq+TJaDOOCtCNvOjjbk5XJxPDW9UFW5Ezhf3c2becaQN/5L6xkjBRTGoLkdBRhtBtOAtTuZEyAyHzxw==" workbookSaltValue="u6Bs5qbWIGhujFu4bfxDq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F11" i="11" s="1"/>
  <c r="EP19" i="8"/>
  <c r="ER19" i="13"/>
  <c r="AL13" i="16"/>
  <c r="AJ13" i="16"/>
  <c r="EP19" i="19"/>
  <c r="S13" i="16"/>
  <c r="P13" i="16"/>
  <c r="AM13" i="20"/>
  <c r="K18" i="2"/>
  <c r="M13" i="2"/>
  <c r="M18" i="2"/>
  <c r="N13" i="2"/>
  <c r="N18" i="2"/>
  <c r="T13" i="12"/>
  <c r="AP17" i="20"/>
  <c r="BW11" i="20"/>
  <c r="T13" i="16"/>
  <c r="BH10" i="11"/>
  <c r="BH16" i="11"/>
  <c r="T13" i="20"/>
  <c r="BF15" i="8"/>
  <c r="BF9" i="8"/>
  <c r="AU18" i="21"/>
  <c r="AH13" i="16"/>
  <c r="AP13" i="16"/>
  <c r="T18" i="17"/>
  <c r="BG15" i="13"/>
  <c r="BE16" i="13"/>
  <c r="BE15" i="13"/>
  <c r="AX20" i="20"/>
  <c r="S19" i="8" l="1"/>
  <c r="B18" i="7"/>
  <c r="BG10" i="8"/>
  <c r="BD9" i="8"/>
  <c r="B9" i="6"/>
  <c r="L16" i="2"/>
  <c r="BH10" i="16"/>
  <c r="AZ12" i="11"/>
  <c r="BU16" i="17"/>
  <c r="BU10" i="17"/>
  <c r="AL16" i="11"/>
  <c r="C16" i="6"/>
  <c r="BE9" i="13"/>
  <c r="V9" i="16"/>
  <c r="U9" i="17"/>
  <c r="U19" i="17" s="1"/>
  <c r="BJ16" i="11"/>
  <c r="BM17" i="11"/>
  <c r="AQ10" i="21"/>
  <c r="BG12" i="11"/>
  <c r="BW10" i="20"/>
  <c r="BW12" i="20"/>
  <c r="BU11" i="17"/>
  <c r="BK17" i="11"/>
  <c r="BG15" i="11"/>
  <c r="BJ12" i="11"/>
  <c r="BI15" i="11"/>
  <c r="BM12" i="11"/>
  <c r="V11" i="11"/>
  <c r="BF10" i="11"/>
  <c r="BL17" i="11"/>
  <c r="BM16" i="11"/>
  <c r="BH17" i="16"/>
  <c r="BH11" i="16"/>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C20" i="11"/>
  <c r="L20" i="11"/>
  <c r="AJ20" i="2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O20" i="16"/>
  <c r="E20" i="1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<sst xmlns="http://schemas.openxmlformats.org/spreadsheetml/2006/main" count="2102" uniqueCount="918">
  <si>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</si>
  <si>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</si>
  <si>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</si>
  <si>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</si>
  <si>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</si>
  <si>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</si>
  <si>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</si>
  <si>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</si>
  <si>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</si>
  <si>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</si>
  <si>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</si>
  <si>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</si>
  <si>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</si>
  <si>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</si>
  <si>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</si>
  <si>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</si>
  <si>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</si>
  <si>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</si>
  <si>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</si>
  <si>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</si>
  <si>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</si>
  <si>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</si>
  <si>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</si>
  <si>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</si>
  <si>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</si>
  <si>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</si>
  <si>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</si>
  <si>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</si>
  <si>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</si>
  <si>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</si>
  <si>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</si>
  <si>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</si>
  <si>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</si>
  <si>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</si>
  <si>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</si>
  <si>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</si>
  <si>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</si>
  <si>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</si>
  <si>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</si>
  <si>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</si>
  <si>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</si>
  <si>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</si>
  <si>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</si>
  <si>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</si>
  <si>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</si>
  <si>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</si>
  <si>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</si>
  <si>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</si>
  <si>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</si>
  <si>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</si>
  <si>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</si>
  <si>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</si>
  <si>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</si>
  <si>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</si>
  <si>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</si>
  <si>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</si>
  <si>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</si>
  <si>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</si>
  <si>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</si>
  <si>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</si>
  <si>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</si>
  <si>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</si>
  <si>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</si>
  <si>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</si>
  <si>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</si>
  <si>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</si>
  <si>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</si>
  <si>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</si>
  <si>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</si>
  <si>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</si>
  <si>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</si>
  <si>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</si>
  <si>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</si>
  <si>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</si>
  <si>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</si>
  <si>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</si>
  <si>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</si>
  <si>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</si>
  <si>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</si>
  <si>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</si>
  <si>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</si>
  <si>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</si>
  <si>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</si>
  <si>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</si>
  <si>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</si>
  <si>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</si>
  <si>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</si>
  <si>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</si>
  <si>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</si>
  <si>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</si>
  <si>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</si>
  <si>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</si>
  <si>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</si>
  <si>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</si>
  <si>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</si>
  <si>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</si>
  <si>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</si>
  <si>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</si>
  <si>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</si>
  <si>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</si>
  <si>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</si>
  <si>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</si>
  <si>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</si>
  <si>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</si>
  <si>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</si>
  <si>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</si>
  <si>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</si>
  <si>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</si>
  <si>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</si>
  <si>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</si>
  <si>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</si>
  <si>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</si>
  <si>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</si>
  <si>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</si>
  <si>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</si>
  <si>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</si>
  <si>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</si>
  <si>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</si>
  <si>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</si>
  <si>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</si>
  <si>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</si>
  <si>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</si>
  <si>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</si>
  <si>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</si>
  <si>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</si>
  <si>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</si>
  <si>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</si>
  <si>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</si>
  <si>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</si>
  <si>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</si>
  <si>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</si>
  <si>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</si>
  <si>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</si>
  <si>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</si>
  <si>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</si>
  <si>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</si>
  <si>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</si>
  <si>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</si>
  <si>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</si>
  <si>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</si>
  <si>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</si>
  <si>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</si>
  <si>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</si>
  <si>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</si>
  <si>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</si>
  <si>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</si>
  <si>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</si>
  <si>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</si>
  <si>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</si>
  <si>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</si>
  <si>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</si>
  <si>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</si>
  <si>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</si>
  <si>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</si>
  <si>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</si>
  <si>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</si>
  <si>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</si>
  <si>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</si>
  <si>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</si>
  <si>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</si>
  <si>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</si>
  <si>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</si>
  <si>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</si>
  <si>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</si>
  <si>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</si>
  <si>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</si>
  <si>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</si>
  <si>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</si>
  <si>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</si>
  <si>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</si>
  <si>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</si>
  <si>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</si>
  <si>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</si>
  <si>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</si>
  <si>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</si>
  <si>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</si>
  <si>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</si>
  <si>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</si>
  <si>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</si>
  <si>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</si>
  <si>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</si>
  <si>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</si>
  <si>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</si>
  <si>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</si>
  <si>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</si>
  <si>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</si>
  <si>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</si>
  <si>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</si>
  <si>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</si>
  <si>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</si>
  <si>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</si>
  <si>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</si>
  <si>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</si>
  <si>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</si>
  <si>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</si>
  <si>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</si>
  <si>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</si>
  <si>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</si>
  <si>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</si>
  <si>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</si>
  <si>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</si>
  <si>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</si>
  <si>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</si>
  <si>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</si>
  <si>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</si>
  <si>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</si>
  <si>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</si>
  <si>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</si>
  <si>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</si>
  <si>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</si>
  <si>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</si>
  <si>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</si>
  <si>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</si>
  <si>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</si>
  <si>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</si>
  <si>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</si>
  <si>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</si>
  <si>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</si>
  <si>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</si>
  <si>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</si>
  <si>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</si>
  <si>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</si>
  <si>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</si>
  <si>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</si>
  <si>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</si>
  <si>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</si>
  <si>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</si>
  <si>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</si>
  <si>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</si>
  <si>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</si>
  <si>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</si>
  <si>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</si>
  <si>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</si>
  <si>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</si>
  <si>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</si>
  <si>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</si>
  <si>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</si>
  <si>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</si>
  <si>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</si>
  <si>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</si>
  <si>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</si>
  <si>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</si>
  <si>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</si>
  <si>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</si>
  <si>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</si>
  <si>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</si>
  <si>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</si>
  <si>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</si>
  <si>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</si>
  <si>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</si>
  <si>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</si>
  <si>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</si>
  <si>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</si>
  <si>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</si>
  <si>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</si>
  <si>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</si>
  <si>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</si>
  <si>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</si>
  <si>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</si>
  <si>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</si>
  <si>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</si>
  <si>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</si>
  <si>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</si>
  <si>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</si>
  <si>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</si>
  <si>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</si>
  <si>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</si>
  <si>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</si>
  <si>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</si>
  <si>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</si>
  <si>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</si>
  <si>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</si>
  <si>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</si>
  <si>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</si>
  <si>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</si>
  <si>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</si>
  <si>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</si>
  <si>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</si>
  <si>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</si>
  <si>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</si>
  <si>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</si>
  <si>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</si>
  <si>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</si>
  <si>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</si>
  <si>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</si>
  <si>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</si>
  <si>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</si>
  <si>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</si>
  <si>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</si>
  <si>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</si>
  <si>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</si>
  <si>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</si>
  <si>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</si>
  <si>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</si>
  <si>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</si>
  <si>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</si>
  <si>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</si>
  <si>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</si>
  <si>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</si>
  <si>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</si>
  <si>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</si>
  <si>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</si>
  <si>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</si>
  <si>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</si>
  <si>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</si>
  <si>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</si>
  <si>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</si>
  <si>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</si>
  <si>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</si>
  <si>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</si>
  <si>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</si>
  <si>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</si>
  <si>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</si>
  <si>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</si>
  <si>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</si>
  <si>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</si>
  <si>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</si>
  <si>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</si>
  <si>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</si>
  <si>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</si>
  <si>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</si>
  <si>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</si>
  <si>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</si>
  <si>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</si>
  <si>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</si>
  <si>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</si>
  <si>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</si>
  <si>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</si>
  <si>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</si>
  <si>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</si>
  <si>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</si>
  <si>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</si>
  <si>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</si>
  <si>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</si>
  <si>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</si>
  <si>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</si>
  <si>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</si>
  <si>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</si>
  <si>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</si>
  <si>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</si>
  <si>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</si>
  <si>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</si>
  <si>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</si>
  <si>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</si>
  <si>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</si>
  <si>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</si>
  <si>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</si>
  <si>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</si>
  <si>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</si>
  <si>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</si>
  <si>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</si>
  <si>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</si>
  <si>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</si>
  <si>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</si>
  <si>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</si>
  <si>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</si>
  <si>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</si>
  <si>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</si>
  <si>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</si>
  <si>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</si>
  <si>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</si>
  <si>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</si>
  <si>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</si>
  <si>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</si>
  <si>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</si>
  <si>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</si>
  <si>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</si>
  <si>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</si>
  <si>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</si>
  <si>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</si>
  <si>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</si>
  <si>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</si>
  <si>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</si>
  <si>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</si>
  <si>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</si>
  <si>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</si>
  <si>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</si>
  <si>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</si>
  <si>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</si>
  <si>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</si>
  <si>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</si>
  <si>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</si>
  <si>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</si>
  <si>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</si>
  <si>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</si>
  <si>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</si>
  <si>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</si>
  <si>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</si>
  <si>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</si>
  <si>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</si>
  <si>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</si>
  <si>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</si>
  <si>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</si>
  <si>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</si>
  <si>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</si>
  <si>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</si>
  <si>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</si>
  <si>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</si>
  <si>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</si>
  <si>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</si>
  <si>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</si>
  <si>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</si>
  <si>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</si>
  <si>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</si>
  <si>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</si>
  <si>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</si>
  <si>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</si>
  <si>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</si>
  <si>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</si>
  <si>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</si>
  <si>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</si>
  <si>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</si>
  <si>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</si>
  <si>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</si>
  <si>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</si>
  <si>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</si>
  <si>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</si>
  <si>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</si>
  <si>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</si>
  <si>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</si>
  <si>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</si>
  <si>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</si>
  <si>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</si>
  <si>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</si>
  <si>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</si>
  <si>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</si>
  <si>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</si>
  <si>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</si>
  <si>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</si>
  <si>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</si>
  <si>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</si>
  <si>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</si>
  <si>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</si>
  <si>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</si>
  <si>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</si>
  <si>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</si>
  <si>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</si>
  <si>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</si>
  <si>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</si>
  <si>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</si>
  <si>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</si>
  <si>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</si>
  <si>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</si>
  <si>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</si>
  <si>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</si>
  <si>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</si>
  <si>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</si>
  <si>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</si>
  <si>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</si>
  <si>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</si>
  <si>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</si>
  <si>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</si>
  <si>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</si>
  <si>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</si>
  <si>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</si>
  <si>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</si>
  <si>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</si>
  <si>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</si>
  <si>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</si>
  <si>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</si>
  <si>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</si>
  <si>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</si>
  <si>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</si>
  <si>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</si>
  <si>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</si>
  <si>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</si>
  <si>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</si>
  <si>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</si>
  <si>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</si>
  <si>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</si>
  <si>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</si>
  <si>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</si>
  <si>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</si>
  <si>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</si>
  <si>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</si>
  <si>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</si>
  <si>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</si>
  <si>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</si>
  <si>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</si>
  <si>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</si>
  <si>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</si>
  <si>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</si>
  <si>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</si>
  <si>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</si>
  <si>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</si>
  <si>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</si>
  <si>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</si>
  <si>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</si>
  <si>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</si>
  <si>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</si>
  <si>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</si>
  <si>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</si>
  <si>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</si>
  <si>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</si>
  <si>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</si>
  <si>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</si>
  <si>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</si>
  <si>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</si>
  <si>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</si>
  <si>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</si>
  <si>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</si>
  <si>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</si>
  <si>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</si>
  <si>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</si>
  <si>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</si>
  <si>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</si>
  <si>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</si>
  <si>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</si>
  <si>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</si>
  <si>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</si>
  <si>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</si>
  <si>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</si>
  <si>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</si>
  <si>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</si>
  <si>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</si>
  <si>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</si>
  <si>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</si>
  <si>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</si>
  <si>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</si>
  <si>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</si>
  <si>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</si>
  <si>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</si>
  <si>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</si>
  <si>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</si>
  <si>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</si>
  <si>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</si>
  <si>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</si>
  <si>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</si>
  <si>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</si>
  <si>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</si>
  <si>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</si>
  <si>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</si>
  <si>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</si>
  <si>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</si>
  <si>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</si>
  <si>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</si>
  <si>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</si>
  <si>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</si>
  <si>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</si>
  <si>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</si>
  <si>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</si>
  <si>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</si>
  <si>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</si>
  <si>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</si>
  <si>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</si>
  <si>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</si>
  <si>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</si>
  <si>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</si>
  <si>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</si>
  <si>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</si>
  <si>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</si>
  <si>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</si>
  <si>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</si>
  <si>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</si>
  <si>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</si>
  <si>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</si>
  <si>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</si>
  <si>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</si>
  <si>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</si>
  <si>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</si>
  <si>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</si>
  <si>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</si>
  <si>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</si>
  <si>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</si>
  <si>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</si>
  <si>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</si>
  <si>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</si>
  <si>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</si>
  <si>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</si>
  <si>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</si>
  <si>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</si>
  <si>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</si>
  <si>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</si>
  <si>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</si>
  <si>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</si>
  <si>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</si>
  <si>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</si>
  <si>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</si>
  <si>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</si>
  <si>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</si>
  <si>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</si>
  <si>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</si>
  <si>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</si>
  <si>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</si>
  <si>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</si>
  <si>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</si>
  <si>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</si>
  <si>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</si>
  <si>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</si>
  <si>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</si>
  <si>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</si>
  <si>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</si>
  <si>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</si>
  <si>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</si>
  <si>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</si>
  <si>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</si>
  <si>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</si>
  <si>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</si>
  <si>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</si>
  <si>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</si>
  <si>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</si>
  <si>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</si>
  <si>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</si>
  <si>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</si>
  <si>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</si>
  <si>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</si>
  <si>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</si>
  <si>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</si>
  <si>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</si>
  <si>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</si>
  <si>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</si>
  <si>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</si>
  <si>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</si>
  <si>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</si>
  <si>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</si>
  <si>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</si>
  <si>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</si>
  <si>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</si>
  <si>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</si>
  <si>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</si>
  <si>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</si>
  <si>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</si>
  <si>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</si>
  <si>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</si>
  <si>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</si>
  <si>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</si>
  <si>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</si>
  <si>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</si>
  <si>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</si>
  <si>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</si>
  <si>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</si>
  <si>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</si>
  <si>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</si>
  <si>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</si>
  <si>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</si>
  <si>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</si>
  <si>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</si>
  <si>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</si>
  <si>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</si>
  <si>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</si>
  <si>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</si>
  <si>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</si>
  <si>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</si>
  <si>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</si>
  <si>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</si>
  <si>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</si>
  <si>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</si>
  <si>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</si>
  <si>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</si>
  <si>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</si>
  <si>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</si>
  <si>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</si>
  <si>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</si>
  <si>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</si>
  <si>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</si>
  <si>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</si>
  <si>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</si>
  <si>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</si>
  <si>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</si>
  <si>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</si>
  <si>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</si>
  <si>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</si>
  <si>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</si>
  <si>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</si>
  <si>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</si>
  <si>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</si>
  <si>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</si>
  <si>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</si>
  <si>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</si>
  <si>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</si>
  <si>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</si>
  <si>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</si>
  <si>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</si>
  <si>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</si>
  <si>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</si>
  <si>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</si>
  <si>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</si>
  <si>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</si>
  <si>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</si>
  <si>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</si>
  <si>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</si>
  <si>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</si>
  <si>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</si>
  <si>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</si>
  <si>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</si>
  <si>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</si>
  <si>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</si>
  <si>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</si>
  <si>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</si>
  <si>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</si>
  <si>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</si>
  <si>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</si>
  <si>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</si>
  <si>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</si>
  <si>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</si>
  <si>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</si>
  <si>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</si>
  <si>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</si>
  <si>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</si>
  <si>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</si>
  <si>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</si>
  <si>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</si>
  <si>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</si>
  <si>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</si>
  <si>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</si>
  <si>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</si>
  <si>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</si>
  <si>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</si>
  <si>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</si>
  <si>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</si>
  <si>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</si>
  <si>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</si>
  <si>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</si>
  <si>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</si>
  <si>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</si>
  <si>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</si>
  <si>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</si>
  <si>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</si>
  <si>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</si>
  <si>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</si>
  <si>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</si>
  <si>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</si>
  <si>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</si>
  <si>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</si>
  <si>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</si>
  <si>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</si>
  <si>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</si>
  <si>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</si>
  <si>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</si>
  <si>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</si>
  <si>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</si>
  <si>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</si>
  <si>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</si>
  <si>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</si>
  <si>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</si>
  <si>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</si>
  <si>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</si>
  <si>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</si>
  <si>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</si>
  <si>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</si>
  <si>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</si>
  <si>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</si>
  <si>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</si>
  <si>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</si>
  <si>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</si>
  <si>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</si>
  <si>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</si>
  <si>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</si>
  <si>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</si>
  <si>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</si>
  <si>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</si>
  <si>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</si>
  <si>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</si>
  <si>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</si>
  <si>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</si>
  <si>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</si>
  <si>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</si>
  <si>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</si>
  <si>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</si>
  <si>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</si>
  <si>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</si>
  <si>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</si>
  <si>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</si>
  <si>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</si>
  <si>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</si>
  <si>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</si>
  <si>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</si>
  <si>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</si>
  <si>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</si>
  <si>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</si>
  <si>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</si>
  <si>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</si>
  <si>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</si>
  <si>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</si>
  <si>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</si>
  <si>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</si>
  <si>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</si>
  <si>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</si>
  <si>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</si>
  <si>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</si>
  <si>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</si>
  <si>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</si>
  <si>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</si>
  <si>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</si>
  <si>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</si>
  <si>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</si>
  <si>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</si>
  <si>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</si>
  <si>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</si>
  <si>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</si>
  <si>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</si>
  <si>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</si>
  <si>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</si>
  <si>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</si>
  <si>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</si>
  <si>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</si>
  <si>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</si>
  <si>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</si>
  <si>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</si>
  <si>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</si>
  <si>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</si>
  <si>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</si>
  <si>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</si>
  <si>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</si>
  <si>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</si>
  <si>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</si>
  <si>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</si>
  <si>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</si>
  <si>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</si>
  <si>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</si>
  <si>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</si>
  <si>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</si>
  <si>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</si>
  <si>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</si>
  <si>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</si>
  <si>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</si>
  <si>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</si>
  <si>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</si>
  <si>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</si>
  <si>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</si>
  <si>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</si>
  <si>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</si>
  <si>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</si>
  <si>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</si>
  <si>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</si>
  <si>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</si>
  <si>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</si>
  <si>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</si>
  <si>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</si>
  <si>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</si>
  <si>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</si>
  <si>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</si>
  <si>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</si>
  <si>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</si>
  <si>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</si>
  <si>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</si>
  <si>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</si>
  <si>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</si>
  <si>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</si>
  <si>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</si>
  <si>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</si>
  <si>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</si>
  <si>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</si>
  <si>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</si>
  <si>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</si>
  <si>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</si>
  <si>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</si>
  <si>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</si>
  <si>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</si>
  <si>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</si>
  <si>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</si>
  <si>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</si>
  <si>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</si>
  <si>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</si>
  <si>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</si>
  <si>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</si>
  <si>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</si>
  <si>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</si>
  <si>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</si>
  <si>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</si>
  <si>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</si>
  <si>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</si>
  <si>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</si>
  <si>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</si>
  <si>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</si>
  <si>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</si>
  <si>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</si>
  <si>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</si>
  <si>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</si>
  <si>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</si>
  <si>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</si>
  <si>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</si>
  <si>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</si>
  <si>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</si>
  <si>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</si>
  <si>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</si>
  <si>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</si>
  <si>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</si>
  <si>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</si>
  <si>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</si>
  <si>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</si>
  <si>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</si>
  <si>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</si>
  <si>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</si>
  <si>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</si>
  <si>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</si>
  <si>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</si>
  <si>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</si>
  <si>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</si>
  <si>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</si>
  <si>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</si>
  <si>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</si>
  <si>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</si>
  <si>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</si>
  <si>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</si>
  <si>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</si>
  <si>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</si>
  <si>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</si>
  <si>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</si>
  <si>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</si>
  <si>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</si>
  <si>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</si>
  <si>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</si>
  <si>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</si>
  <si>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</si>
  <si>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</si>
  <si>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</si>
  <si>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</si>
  <si>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</si>
  <si>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</si>
  <si>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</si>
  <si>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</si>
  <si>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</si>
  <si>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</si>
  <si>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</si>
  <si>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MALAGA</t>
  </si>
  <si>
    <t>Resumenes por Partidos Judiciales</t>
  </si>
  <si>
    <t>MARBELLA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</si>
</sst>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3rs0GiQrnfM1qUnhs5ZLQC9ZIYZ7axu86N+8CK9om2+EyKskeQQX2Sx5KMr5oaaayKUZEY60RqAcEFxOz0cSw==" saltValue="oLQtarCemzGEKKMvGTmhO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38.610809082187401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90</v>
      </c>
      <c r="D10" s="225">
        <f>IF(ISNUMBER(Datos!I10),Datos!I10," - ")</f>
        <v>90</v>
      </c>
      <c r="E10" s="226">
        <f>IF(ISNUMBER(Datos!J10),Datos!J10," - ")</f>
        <v>55</v>
      </c>
      <c r="F10" s="226">
        <f>IF(ISNUMBER(Datos!K10),Datos!K10," - ")</f>
        <v>61</v>
      </c>
      <c r="G10" s="1034" t="str">
        <f>IF(Datos!E10&lt;&gt;"",Datos!E10,Datos!D10)</f>
        <v>37</v>
      </c>
      <c r="H10" s="227">
        <f>IF(ISNUMBER(Datos!L10),Datos!L10," - ")</f>
        <v>84</v>
      </c>
      <c r="I10" s="1044" t="str">
        <f>IF(ISNUMBER(Datos!AS10/Datos!BM10),Datos!AS10/Datos!BM10," - ")</f>
        <v xml:space="preserve"> - </v>
      </c>
      <c r="J10" s="1045">
        <f>IF(ISNUMBER(Datos!BY10/Datos!CN10),Datos!BY10/Datos!CN10," - ")</f>
        <v>0</v>
      </c>
      <c r="K10" s="230">
        <f t="shared" ref="K10:K12" si="1">IF(ISNUMBER((E10-F10)/C10),(E10-F10)/C10," - ")</f>
        <v>-6.6666666666666666E-2</v>
      </c>
      <c r="L10" s="1025">
        <f>IF(ISNUMBER(NºAsuntos!I10/NºAsuntos!G10),(NºAsuntos!I10/NºAsuntos!G10)*11," - ")</f>
        <v>15.147540983606557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90</v>
      </c>
      <c r="D13" s="1049">
        <f>SUBTOTAL(9,D9:D12)</f>
        <v>90</v>
      </c>
      <c r="E13" s="1050">
        <f>SUBTOTAL(9,E9:E12)</f>
        <v>55</v>
      </c>
      <c r="F13" s="1051">
        <f>SUBTOTAL(9,F9:F12)</f>
        <v>61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3904</v>
      </c>
      <c r="D15" s="225">
        <f>IF(ISNUMBER(IF(D_I="SI",Datos!I15,Datos!I15+Datos!AC15)),IF(D_I="SI",Datos!I15,Datos!I15+Datos!AC15)," - ")</f>
        <v>3832</v>
      </c>
      <c r="E15" s="226">
        <f>IF(ISNUMBER(IF(D_I="SI",Datos!J15,Datos!J15+Datos!AD15)),IF(D_I="SI",Datos!J15,Datos!J15+Datos!AD15)," - ")</f>
        <v>4832</v>
      </c>
      <c r="F15" s="226">
        <f>IF(ISNUMBER(IF(D_I="SI",Datos!K15,Datos!K15+Datos!AE15)),IF(D_I="SI",Datos!K15,Datos!K15+Datos!AE15)," - ")</f>
        <v>4617</v>
      </c>
      <c r="G15" s="1034" t="str">
        <f>IF(Datos!E15&lt;&gt;"",Datos!E15,Datos!D15)</f>
        <v>03</v>
      </c>
      <c r="H15" s="227">
        <f>IF(ISNUMBER(IF(D_I="SI",Datos!L15,Datos!L15+Datos!AF15)),IF(D_I="SI",Datos!L15,Datos!L15+Datos!AF15)," - ")</f>
        <v>4119</v>
      </c>
      <c r="I15" s="1044" t="str">
        <f>IF(ISNUMBER(Datos!AS15/Datos!BM15),Datos!AS15/Datos!BM15," - ")</f>
        <v xml:space="preserve"> - </v>
      </c>
      <c r="J15" s="1045">
        <f>IF(ISNUMBER(Datos!BY15/Datos!CN15),Datos!BY15/Datos!CN15," - ")</f>
        <v>0</v>
      </c>
      <c r="K15" s="230">
        <f t="shared" ref="K15:K17" si="3">IF(ISNUMBER((E15-F15)/C15),(E15-F15)/C15," - ")</f>
        <v>5.5071721311475412E-2</v>
      </c>
      <c r="L15" s="1025">
        <f>IF(ISNUMBER(NºAsuntos!I15/NºAsuntos!G15),(NºAsuntos!I15/NºAsuntos!G15)*11," - ")</f>
        <v>9.8135152696556212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175</v>
      </c>
      <c r="D17" s="225">
        <f>IF(ISNUMBER(IF(D_I="SI",Datos!I17,Datos!I17+Datos!AC17)),IF(D_I="SI",Datos!I17,Datos!I17+Datos!AC17)," - ")</f>
        <v>175</v>
      </c>
      <c r="E17" s="226">
        <f>IF(ISNUMBER(IF(D_I="SI",Datos!J17,Datos!J17+Datos!AD17)),IF(D_I="SI",Datos!J17,Datos!J17+Datos!AD17)," - ")</f>
        <v>939</v>
      </c>
      <c r="F17" s="226">
        <f>IF(ISNUMBER(IF(D_I="SI",Datos!K17,Datos!K17+Datos!AE17)),IF(D_I="SI",Datos!K17,Datos!K17+Datos!AE17)," - ")</f>
        <v>555</v>
      </c>
      <c r="G17" s="1034" t="str">
        <f>IF(Datos!E17&lt;&gt;"",Datos!E17,Datos!D17)</f>
        <v>37</v>
      </c>
      <c r="H17" s="227">
        <f>IF(ISNUMBER(IF(D_I="SI",Datos!L17,Datos!L17+Datos!AF17)),IF(D_I="SI",Datos!L17,Datos!L17+Datos!AF17)," - ")</f>
        <v>559</v>
      </c>
      <c r="I17" s="1044" t="str">
        <f>IF(ISNUMBER(Datos!AS17/Datos!BM17),Datos!AS17/Datos!BM17," - ")</f>
        <v xml:space="preserve"> - </v>
      </c>
      <c r="J17" s="1045" t="str">
        <f>IF(ISNUMBER((Datos!BY17+Datos!BZ17)/Datos!CN17),(Datos!BY17+Datos!BZ17)/Datos!CN17," - ")</f>
        <v xml:space="preserve"> - </v>
      </c>
      <c r="K17" s="230">
        <f t="shared" si="3"/>
        <v>2.1942857142857144</v>
      </c>
      <c r="L17" s="1025">
        <f>IF(ISNUMBER(NºAsuntos!I17/NºAsuntos!G17),(NºAsuntos!I17/NºAsuntos!G17)*11," - ")</f>
        <v>11.079279279279278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4079</v>
      </c>
      <c r="D18" s="1049">
        <f>SUBTOTAL(9,D15:D17)</f>
        <v>4007</v>
      </c>
      <c r="E18" s="1050">
        <f>SUBTOTAL(9,E15:E17)</f>
        <v>5771</v>
      </c>
      <c r="F18" s="1050">
        <f>SUBTOTAL(9,F15:F17)</f>
        <v>5172</v>
      </c>
      <c r="G18" s="1052" t="str">
        <f ca="1">INDIRECT(CONCATENATE("G",ROW()-1))</f>
        <v>37</v>
      </c>
      <c r="H18" s="1053">
        <f ca="1">SUMIF(G$14:G17,G18,H$14:H17)</f>
        <v>559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4169</v>
      </c>
      <c r="D19" s="1071">
        <f>SUBTOTAL(9,D9:D18)</f>
        <v>4097</v>
      </c>
      <c r="E19" s="1072">
        <f>SUBTOTAL(9,E9:E18)</f>
        <v>5826</v>
      </c>
      <c r="F19" s="1072">
        <f>SUBTOTAL(9,F9:F18)</f>
        <v>5233</v>
      </c>
      <c r="G19" s="1073"/>
      <c r="H19" s="1074">
        <f ca="1">SUMIF(B9:B18,"TOTAL",H9:H18)</f>
        <v>559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as6Q2iOOEr6idwCqFKU3BRklQ+XSXDC/nxhyxJIAq99aykUabxzLQXw2Dhu2q5wIEuTyQmT4zgGKLRvMkyISg==" saltValue="Zu+Tdgw4/Vis+a4bh64Kd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rkIKtfKoCJxZq/iJ5b6n1AEw6jdysEt11JHRt0NJSnD666N/2T+Qpp+oDEDKW18ZI3xLwLUmxjPJjJVLHPxgw==" saltValue="cGkOshomxpPqTlfoRa6L7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10375</v>
      </c>
      <c r="J9" s="181">
        <v>3261</v>
      </c>
      <c r="K9" s="181">
        <v>2959</v>
      </c>
      <c r="L9" s="181">
        <v>10677</v>
      </c>
      <c r="M9" s="181">
        <v>661</v>
      </c>
      <c r="N9" s="181">
        <v>1153</v>
      </c>
      <c r="O9" s="181">
        <v>1603</v>
      </c>
      <c r="P9" s="181">
        <v>719</v>
      </c>
      <c r="Q9" s="181">
        <v>619</v>
      </c>
      <c r="R9" s="181">
        <v>10727</v>
      </c>
      <c r="S9" s="181">
        <v>8931</v>
      </c>
      <c r="T9" s="181">
        <v>2805</v>
      </c>
      <c r="U9" s="181">
        <v>2052</v>
      </c>
      <c r="V9" s="181">
        <v>9707</v>
      </c>
      <c r="W9" s="181">
        <v>508</v>
      </c>
      <c r="X9" s="188">
        <v>701</v>
      </c>
      <c r="Y9" s="191">
        <v>279</v>
      </c>
      <c r="Z9" s="181">
        <v>188</v>
      </c>
      <c r="AA9" s="181">
        <v>168</v>
      </c>
      <c r="AB9" s="181">
        <v>299</v>
      </c>
      <c r="AC9" s="181">
        <v>0</v>
      </c>
      <c r="AD9" s="181">
        <v>0</v>
      </c>
      <c r="AE9" s="181">
        <v>0</v>
      </c>
      <c r="AF9" s="188">
        <v>0</v>
      </c>
      <c r="AG9" s="191">
        <v>321</v>
      </c>
      <c r="AH9" s="181">
        <v>128</v>
      </c>
      <c r="AI9" s="181">
        <v>148</v>
      </c>
      <c r="AJ9" s="192">
        <v>292</v>
      </c>
      <c r="AK9" s="180">
        <v>0</v>
      </c>
      <c r="AL9" s="181">
        <v>0</v>
      </c>
      <c r="AM9" s="181">
        <v>0</v>
      </c>
      <c r="AN9" s="188">
        <v>0</v>
      </c>
      <c r="AO9" s="258">
        <v>8</v>
      </c>
      <c r="AP9" s="154">
        <v>8</v>
      </c>
      <c r="AQ9" s="154">
        <v>8</v>
      </c>
      <c r="AR9" s="193">
        <v>8</v>
      </c>
      <c r="AS9" s="338" t="s">
        <v>799</v>
      </c>
      <c r="AT9" s="195"/>
      <c r="AU9" s="194"/>
      <c r="AV9" s="195"/>
      <c r="AW9" s="194"/>
      <c r="AX9" s="195"/>
      <c r="AY9" s="123">
        <f>IF(ISNUMBER(IF(J_V="SI",S9,S9+AG9)),IF(J_V="SI",S9,S9+AG9)," - ")</f>
        <v>9252</v>
      </c>
      <c r="AZ9" s="123">
        <f>IF(ISNUMBER(IF(J_V="SI",T9,T9+AH9)),IF(J_V="SI",T9,T9+AH9)," - ")</f>
        <v>2933</v>
      </c>
      <c r="BA9" s="124">
        <f>IF(ISNUMBER(IF(J_V="SI",U9,U9+AI9)),IF(J_V="SI",U9,U9+AI9)," - ")</f>
        <v>2200</v>
      </c>
      <c r="BB9" s="124">
        <f>IF(ISNUMBER(IF(J_V="SI",V9,V9+AJ9)),IF(J_V="SI",V9,V9+AJ9)," - ")</f>
        <v>9999</v>
      </c>
      <c r="BC9" s="125">
        <f>IF(ISNUMBER(X9),X9," - ")</f>
        <v>701</v>
      </c>
      <c r="BD9" s="126">
        <f>IF(ISNUMBER(BA9/AZ9),BA9/AZ9," - ")</f>
        <v>0.75008523695874529</v>
      </c>
      <c r="BE9" s="127">
        <f>IF(ISNUMBER(BB9/BA9),BB9/BA9, " - ")</f>
        <v>4.5449999999999999</v>
      </c>
      <c r="BF9" s="127">
        <f>IF(ISNUMBER(BC9/BA9),BC9/BA9, " - ")</f>
        <v>0.31863636363636366</v>
      </c>
      <c r="BG9" s="196">
        <f>IF(ISNUMBER((AY9+AZ9)/BA9),(AY9+AZ9)/BA9," - ")</f>
        <v>5.538636363636364</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90</v>
      </c>
      <c r="J10" s="181">
        <v>55</v>
      </c>
      <c r="K10" s="181">
        <v>61</v>
      </c>
      <c r="L10" s="181">
        <v>84</v>
      </c>
      <c r="M10" s="181">
        <v>8</v>
      </c>
      <c r="N10" s="181">
        <v>9</v>
      </c>
      <c r="O10" s="181">
        <v>14</v>
      </c>
      <c r="P10" s="181">
        <v>9</v>
      </c>
      <c r="Q10" s="181">
        <v>0</v>
      </c>
      <c r="R10" s="181">
        <v>46</v>
      </c>
      <c r="S10" s="181">
        <v>78</v>
      </c>
      <c r="T10" s="181">
        <v>44</v>
      </c>
      <c r="U10" s="181">
        <v>44</v>
      </c>
      <c r="V10" s="181">
        <v>78</v>
      </c>
      <c r="W10" s="181">
        <v>15</v>
      </c>
      <c r="X10" s="188">
        <v>23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78</v>
      </c>
      <c r="AZ10" s="129">
        <f t="shared" si="0"/>
        <v>44</v>
      </c>
      <c r="BA10" s="129">
        <f t="shared" si="0"/>
        <v>44</v>
      </c>
      <c r="BB10" s="129">
        <f t="shared" si="0"/>
        <v>78</v>
      </c>
      <c r="BC10" s="125">
        <f t="shared" si="0"/>
        <v>15</v>
      </c>
      <c r="BD10" s="126">
        <f>IF(ISNUMBER(BA10/AZ10),BA10/AZ10," - ")</f>
        <v>1</v>
      </c>
      <c r="BE10" s="127">
        <f>IF(ISNUMBER(BB10/BA10),BB10/BA10, " - ")</f>
        <v>1.7727272727272727</v>
      </c>
      <c r="BF10" s="127">
        <f>IF(ISNUMBER(BC10/BA10),BC10/BA10, " - ")</f>
        <v>0.34090909090909088</v>
      </c>
      <c r="BG10" s="196">
        <f>IF(ISNUMBER((AY10+AZ10)/BA10),(AY10+AZ10)/BA10," - ")</f>
        <v>2.7727272727272729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10465</v>
      </c>
      <c r="J13" s="184">
        <f t="shared" si="6"/>
        <v>3316</v>
      </c>
      <c r="K13" s="184">
        <f t="shared" si="6"/>
        <v>3020</v>
      </c>
      <c r="L13" s="184">
        <f t="shared" si="6"/>
        <v>10761</v>
      </c>
      <c r="M13" s="184">
        <f t="shared" si="6"/>
        <v>669</v>
      </c>
      <c r="N13" s="184">
        <f t="shared" si="6"/>
        <v>1162</v>
      </c>
      <c r="O13" s="184">
        <f t="shared" si="6"/>
        <v>1617</v>
      </c>
      <c r="P13" s="184">
        <f t="shared" si="6"/>
        <v>728</v>
      </c>
      <c r="Q13" s="184">
        <f t="shared" si="6"/>
        <v>619</v>
      </c>
      <c r="R13" s="184">
        <f t="shared" si="6"/>
        <v>10773</v>
      </c>
      <c r="S13" s="184">
        <f t="shared" si="6"/>
        <v>9009</v>
      </c>
      <c r="T13" s="184">
        <f t="shared" si="6"/>
        <v>2849</v>
      </c>
      <c r="U13" s="184">
        <f t="shared" si="6"/>
        <v>2096</v>
      </c>
      <c r="V13" s="184">
        <f t="shared" si="6"/>
        <v>9785</v>
      </c>
      <c r="W13" s="184">
        <f t="shared" si="6"/>
        <v>523</v>
      </c>
      <c r="X13" s="184">
        <f t="shared" si="6"/>
        <v>724</v>
      </c>
      <c r="Y13" s="184">
        <f t="shared" si="6"/>
        <v>279</v>
      </c>
      <c r="Z13" s="184">
        <f t="shared" si="6"/>
        <v>188</v>
      </c>
      <c r="AA13" s="184">
        <f t="shared" si="6"/>
        <v>168</v>
      </c>
      <c r="AB13" s="184">
        <f t="shared" si="6"/>
        <v>299</v>
      </c>
      <c r="AC13" s="184">
        <f t="shared" si="6"/>
        <v>0</v>
      </c>
      <c r="AD13" s="184">
        <f t="shared" si="6"/>
        <v>0</v>
      </c>
      <c r="AE13" s="184">
        <f t="shared" si="6"/>
        <v>0</v>
      </c>
      <c r="AF13" s="184">
        <f>SUBTOTAL(9,AF9:AF12)</f>
        <v>0</v>
      </c>
      <c r="AG13" s="184">
        <f t="shared" ref="AG13:AT13" si="7">SUBTOTAL(9,AG8:AG12)</f>
        <v>321</v>
      </c>
      <c r="AH13" s="184">
        <f t="shared" si="7"/>
        <v>128</v>
      </c>
      <c r="AI13" s="184">
        <f t="shared" si="7"/>
        <v>148</v>
      </c>
      <c r="AJ13" s="184">
        <f t="shared" si="7"/>
        <v>292</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9330</v>
      </c>
      <c r="AZ13" s="184">
        <f>SUBTOTAL(9,AZ8:AZ12)</f>
        <v>2977</v>
      </c>
      <c r="BA13" s="184">
        <f>SUBTOTAL(9,BA8:BA12)</f>
        <v>2244</v>
      </c>
      <c r="BB13" s="184">
        <f>SUBTOTAL(9,BB8:BB12)</f>
        <v>10077</v>
      </c>
      <c r="BC13" s="184">
        <f>SUBTOTAL(9,BC8:BC12)</f>
        <v>716</v>
      </c>
      <c r="BD13" s="205">
        <f>IF(ISNUMBER(BA13/AZ13),BA13/AZ13," - ")</f>
        <v>0.75377897211958345</v>
      </c>
      <c r="BE13" s="206">
        <f>IF(ISNUMBER(BB13/BA13),BB13/BA13, " - ")</f>
        <v>4.4906417112299462</v>
      </c>
      <c r="BF13" s="206">
        <f>IF(ISNUMBER(BC13/BA13),BC13/BA13, " - ")</f>
        <v>0.31907308377896615</v>
      </c>
      <c r="BG13" s="207">
        <f>IF(ISNUMBER((AY13+AZ13)/BA13),(AY13+AZ13)/BA13," - ")</f>
        <v>5.4844028520499108</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3832</v>
      </c>
      <c r="J15" s="183">
        <v>4832</v>
      </c>
      <c r="K15" s="183">
        <v>4617</v>
      </c>
      <c r="L15" s="183">
        <v>4119</v>
      </c>
      <c r="M15" s="183">
        <v>419</v>
      </c>
      <c r="N15" s="183">
        <v>3296</v>
      </c>
      <c r="O15" s="181">
        <v>54</v>
      </c>
      <c r="P15" s="183">
        <v>97</v>
      </c>
      <c r="Q15" s="183">
        <v>111</v>
      </c>
      <c r="R15" s="183">
        <v>311</v>
      </c>
      <c r="S15" s="183">
        <v>3313</v>
      </c>
      <c r="T15" s="183">
        <v>4403</v>
      </c>
      <c r="U15" s="183">
        <v>3908</v>
      </c>
      <c r="V15" s="183">
        <v>3903</v>
      </c>
      <c r="W15" s="183">
        <v>408</v>
      </c>
      <c r="X15" s="189">
        <v>2662</v>
      </c>
      <c r="Y15" s="202">
        <v>0</v>
      </c>
      <c r="Z15" s="183">
        <v>0</v>
      </c>
      <c r="AA15" s="183">
        <v>0</v>
      </c>
      <c r="AB15" s="183">
        <v>0</v>
      </c>
      <c r="AC15" s="183">
        <v>0</v>
      </c>
      <c r="AD15" s="183">
        <v>71</v>
      </c>
      <c r="AE15" s="183">
        <v>71</v>
      </c>
      <c r="AF15" s="189">
        <v>0</v>
      </c>
      <c r="AG15" s="202">
        <v>0</v>
      </c>
      <c r="AH15" s="183">
        <v>0</v>
      </c>
      <c r="AI15" s="183">
        <v>0</v>
      </c>
      <c r="AJ15" s="203">
        <v>0</v>
      </c>
      <c r="AK15" s="182">
        <v>0</v>
      </c>
      <c r="AL15" s="183">
        <v>38</v>
      </c>
      <c r="AM15" s="183">
        <v>37</v>
      </c>
      <c r="AN15" s="189">
        <v>1</v>
      </c>
      <c r="AO15" s="259">
        <v>5</v>
      </c>
      <c r="AP15" s="155">
        <v>5</v>
      </c>
      <c r="AQ15" s="155">
        <v>5</v>
      </c>
      <c r="AR15" s="155">
        <v>5</v>
      </c>
      <c r="AS15" s="340" t="s">
        <v>527</v>
      </c>
      <c r="AT15" s="203" t="s">
        <v>326</v>
      </c>
      <c r="AU15" s="202"/>
      <c r="AV15" s="203"/>
      <c r="AW15" s="202"/>
      <c r="AX15" s="203"/>
      <c r="AY15" s="128">
        <f t="shared" ref="AY15:BB16" si="9">IF(ISNUMBER(IF(D_I="SI",S15,S15+AK15)),IF(D_I="SI",S15,S15+AK15)," - ")</f>
        <v>3313</v>
      </c>
      <c r="AZ15" s="129">
        <f t="shared" si="9"/>
        <v>4403</v>
      </c>
      <c r="BA15" s="129">
        <f t="shared" si="9"/>
        <v>3908</v>
      </c>
      <c r="BB15" s="129">
        <f t="shared" si="9"/>
        <v>3903</v>
      </c>
      <c r="BC15" s="125">
        <f>IF(ISNUMBER(W15),W15," - ")</f>
        <v>408</v>
      </c>
      <c r="BD15" s="126">
        <f>IF(ISNUMBER(BA15/AZ15),BA15/AZ15," - ")</f>
        <v>0.88757665228253468</v>
      </c>
      <c r="BE15" s="127">
        <f>IF(ISNUMBER(BB15/BA15),BB15/BA15, " - ")</f>
        <v>0.99872057318321394</v>
      </c>
      <c r="BF15" s="127">
        <f>IF(ISNUMBER(BC15/BA15),BC15/BA15, " - ")</f>
        <v>0.10440122824974411</v>
      </c>
      <c r="BG15" s="196">
        <f t="shared" ref="BG15:BG16" si="10">IF(ISNUMBER((AY15+AZ15)/BA15),(AY15+AZ15)/BA15," - ")</f>
        <v>1.9744114636642784</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175</v>
      </c>
      <c r="J17" s="183">
        <v>939</v>
      </c>
      <c r="K17" s="183">
        <v>555</v>
      </c>
      <c r="L17" s="183">
        <v>559</v>
      </c>
      <c r="M17" s="183">
        <v>46</v>
      </c>
      <c r="N17" s="183">
        <v>239</v>
      </c>
      <c r="O17" s="183">
        <v>0</v>
      </c>
      <c r="P17" s="183">
        <v>62</v>
      </c>
      <c r="Q17" s="183">
        <v>18</v>
      </c>
      <c r="R17" s="183">
        <v>48</v>
      </c>
      <c r="S17" s="183">
        <v>108</v>
      </c>
      <c r="T17" s="183">
        <v>312</v>
      </c>
      <c r="U17" s="183">
        <v>335</v>
      </c>
      <c r="V17" s="183">
        <v>94</v>
      </c>
      <c r="W17" s="183">
        <v>34</v>
      </c>
      <c r="X17" s="189">
        <v>143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108</v>
      </c>
      <c r="AZ17" s="129">
        <f t="shared" si="14"/>
        <v>312</v>
      </c>
      <c r="BA17" s="129">
        <f t="shared" si="14"/>
        <v>335</v>
      </c>
      <c r="BB17" s="129">
        <f t="shared" si="14"/>
        <v>94</v>
      </c>
      <c r="BC17" s="125">
        <f>IF(ISNUMBER(W17),W17," - ")</f>
        <v>34</v>
      </c>
      <c r="BD17" s="126">
        <f>IF(ISNUMBER(BA17/AZ17),BA17/AZ17," - ")</f>
        <v>1.0737179487179487</v>
      </c>
      <c r="BE17" s="127">
        <f>IF(ISNUMBER(BB17/BA17),BB17/BA17, " - ")</f>
        <v>0.28059701492537314</v>
      </c>
      <c r="BF17" s="127">
        <f>IF(ISNUMBER(BC17/BA17),BC17/BA17, " - ")</f>
        <v>0.10149253731343283</v>
      </c>
      <c r="BG17" s="196">
        <f>IF(ISNUMBER((AY17+AZ17)/BA17),(AY17+AZ17)/BA17," - ")</f>
        <v>1.2537313432835822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4007</v>
      </c>
      <c r="J18" s="184">
        <f t="shared" si="15"/>
        <v>5771</v>
      </c>
      <c r="K18" s="184">
        <f t="shared" si="15"/>
        <v>5172</v>
      </c>
      <c r="L18" s="184">
        <f t="shared" si="15"/>
        <v>4678</v>
      </c>
      <c r="M18" s="184">
        <f t="shared" si="15"/>
        <v>465</v>
      </c>
      <c r="N18" s="184">
        <f t="shared" si="15"/>
        <v>3535</v>
      </c>
      <c r="O18" s="184">
        <f t="shared" si="15"/>
        <v>54</v>
      </c>
      <c r="P18" s="184">
        <f t="shared" si="15"/>
        <v>159</v>
      </c>
      <c r="Q18" s="184">
        <f t="shared" si="15"/>
        <v>129</v>
      </c>
      <c r="R18" s="184">
        <f t="shared" si="15"/>
        <v>359</v>
      </c>
      <c r="S18" s="184">
        <f t="shared" si="15"/>
        <v>3421</v>
      </c>
      <c r="T18" s="184">
        <f t="shared" si="15"/>
        <v>4715</v>
      </c>
      <c r="U18" s="184">
        <f t="shared" si="15"/>
        <v>4243</v>
      </c>
      <c r="V18" s="184">
        <f t="shared" si="15"/>
        <v>3997</v>
      </c>
      <c r="W18" s="184">
        <f t="shared" si="15"/>
        <v>442</v>
      </c>
      <c r="X18" s="184">
        <f t="shared" si="15"/>
        <v>2805</v>
      </c>
      <c r="Y18" s="184">
        <f t="shared" si="15"/>
        <v>0</v>
      </c>
      <c r="Z18" s="184">
        <f t="shared" si="15"/>
        <v>0</v>
      </c>
      <c r="AA18" s="184">
        <f t="shared" si="15"/>
        <v>0</v>
      </c>
      <c r="AB18" s="184">
        <f t="shared" si="15"/>
        <v>0</v>
      </c>
      <c r="AC18" s="184">
        <f t="shared" si="15"/>
        <v>0</v>
      </c>
      <c r="AD18" s="184">
        <f t="shared" si="15"/>
        <v>71</v>
      </c>
      <c r="AE18" s="184">
        <f t="shared" si="15"/>
        <v>71</v>
      </c>
      <c r="AF18" s="184">
        <f t="shared" si="15"/>
        <v>0</v>
      </c>
      <c r="AG18" s="184">
        <f t="shared" si="15"/>
        <v>0</v>
      </c>
      <c r="AH18" s="184">
        <f t="shared" si="15"/>
        <v>0</v>
      </c>
      <c r="AI18" s="184">
        <f t="shared" si="15"/>
        <v>0</v>
      </c>
      <c r="AJ18" s="184">
        <f t="shared" si="15"/>
        <v>0</v>
      </c>
      <c r="AK18" s="184">
        <f t="shared" si="15"/>
        <v>0</v>
      </c>
      <c r="AL18" s="184">
        <f t="shared" si="15"/>
        <v>38</v>
      </c>
      <c r="AM18" s="184">
        <f t="shared" si="15"/>
        <v>37</v>
      </c>
      <c r="AN18" s="184">
        <f t="shared" si="15"/>
        <v>1</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3421</v>
      </c>
      <c r="AZ18" s="184">
        <f>SUBTOTAL(9,AZ14:AZ17)</f>
        <v>4715</v>
      </c>
      <c r="BA18" s="184">
        <f>SUBTOTAL(9,BA14:BA17)</f>
        <v>4243</v>
      </c>
      <c r="BB18" s="184">
        <f>SUBTOTAL(9,BB14:BB17)</f>
        <v>3997</v>
      </c>
      <c r="BC18" s="184">
        <f>SUBTOTAL(9,BC14:BC17)</f>
        <v>442</v>
      </c>
      <c r="BD18" s="205">
        <f>IF(ISNUMBER(BA18/AZ18),BA18/AZ18," - ")</f>
        <v>0.89989395546129369</v>
      </c>
      <c r="BE18" s="206">
        <f>IF(ISNUMBER(BB18/BA18),BB18/BA18, " - ")</f>
        <v>0.94202215413622437</v>
      </c>
      <c r="BF18" s="206">
        <f>IF(ISNUMBER(BC18/BA18),BC18/BA18, " - ")</f>
        <v>0.10417157671458874</v>
      </c>
      <c r="BG18" s="207">
        <f>IF(ISNUMBER((AY18+AZ18)/BA18),(AY18+AZ18)/BA18," - ")</f>
        <v>1.9175111949092623</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14472</v>
      </c>
      <c r="J19" s="134">
        <f t="shared" si="18"/>
        <v>9087</v>
      </c>
      <c r="K19" s="134">
        <f t="shared" si="18"/>
        <v>8192</v>
      </c>
      <c r="L19" s="134">
        <f t="shared" si="18"/>
        <v>15439</v>
      </c>
      <c r="M19" s="134">
        <f t="shared" si="18"/>
        <v>1134</v>
      </c>
      <c r="N19" s="134">
        <f t="shared" si="18"/>
        <v>4697</v>
      </c>
      <c r="O19" s="134">
        <f t="shared" si="18"/>
        <v>1671</v>
      </c>
      <c r="P19" s="134">
        <f t="shared" si="18"/>
        <v>887</v>
      </c>
      <c r="Q19" s="134">
        <f t="shared" si="18"/>
        <v>748</v>
      </c>
      <c r="R19" s="134">
        <f t="shared" si="18"/>
        <v>11132</v>
      </c>
      <c r="S19" s="134">
        <f t="shared" si="18"/>
        <v>12430</v>
      </c>
      <c r="T19" s="134">
        <f t="shared" si="18"/>
        <v>7564</v>
      </c>
      <c r="U19" s="134">
        <f t="shared" si="18"/>
        <v>6339</v>
      </c>
      <c r="V19" s="134">
        <f t="shared" si="18"/>
        <v>13782</v>
      </c>
      <c r="W19" s="134">
        <f t="shared" si="18"/>
        <v>965</v>
      </c>
      <c r="X19" s="134">
        <f t="shared" si="18"/>
        <v>3529</v>
      </c>
      <c r="Y19" s="134">
        <f t="shared" si="18"/>
        <v>279</v>
      </c>
      <c r="Z19" s="134">
        <f t="shared" si="18"/>
        <v>188</v>
      </c>
      <c r="AA19" s="134">
        <f t="shared" si="18"/>
        <v>168</v>
      </c>
      <c r="AB19" s="134">
        <f t="shared" si="18"/>
        <v>299</v>
      </c>
      <c r="AC19" s="134">
        <f t="shared" si="18"/>
        <v>0</v>
      </c>
      <c r="AD19" s="134">
        <f t="shared" si="18"/>
        <v>71</v>
      </c>
      <c r="AE19" s="134">
        <f t="shared" si="18"/>
        <v>71</v>
      </c>
      <c r="AF19" s="134">
        <f t="shared" si="18"/>
        <v>0</v>
      </c>
      <c r="AG19" s="134">
        <f t="shared" si="18"/>
        <v>321</v>
      </c>
      <c r="AH19" s="134">
        <f t="shared" si="18"/>
        <v>128</v>
      </c>
      <c r="AI19" s="134">
        <f t="shared" si="18"/>
        <v>148</v>
      </c>
      <c r="AJ19" s="134">
        <f t="shared" si="18"/>
        <v>292</v>
      </c>
      <c r="AK19" s="134">
        <f t="shared" si="18"/>
        <v>0</v>
      </c>
      <c r="AL19" s="134">
        <f t="shared" si="18"/>
        <v>38</v>
      </c>
      <c r="AM19" s="134">
        <f t="shared" si="18"/>
        <v>37</v>
      </c>
      <c r="AN19" s="210">
        <f t="shared" si="18"/>
        <v>1</v>
      </c>
      <c r="AO19" s="211">
        <v>14</v>
      </c>
      <c r="AP19" s="211">
        <v>14</v>
      </c>
      <c r="AQ19" s="211">
        <v>14</v>
      </c>
      <c r="AR19" s="211">
        <v>14</v>
      </c>
      <c r="AS19" s="153">
        <f t="shared" si="18"/>
        <v>0</v>
      </c>
      <c r="AT19" s="153">
        <f t="shared" si="18"/>
        <v>0</v>
      </c>
      <c r="AU19" s="211"/>
      <c r="AV19" s="212"/>
      <c r="AW19" s="211"/>
      <c r="AX19" s="212"/>
      <c r="AY19" s="133">
        <f>SUBTOTAL(9,AY9:AY18)</f>
        <v>12751</v>
      </c>
      <c r="AZ19" s="134">
        <f>SUBTOTAL(9,AZ9:AZ18)</f>
        <v>7692</v>
      </c>
      <c r="BA19" s="134">
        <f>SUBTOTAL(9,BA9:BA18)</f>
        <v>6487</v>
      </c>
      <c r="BB19" s="134">
        <f>SUBTOTAL(9,BB9:BB18)</f>
        <v>14074</v>
      </c>
      <c r="BC19" s="135">
        <f>SUBTOTAL(9,BC9:BC18)</f>
        <v>1158</v>
      </c>
      <c r="BD19" s="213">
        <f>IF(ISNUMBER(BA19/AZ19),BA19/AZ19," - ")</f>
        <v>0.84334373374935001</v>
      </c>
      <c r="BE19" s="210">
        <f>IF(ISNUMBER(BB19/BA19),BB19/BA19, " - ")</f>
        <v>2.1695699090488669</v>
      </c>
      <c r="BF19" s="210">
        <f>IF(ISNUMBER(BC19/BA19),BC19/BA19, " - ")</f>
        <v>0.17851086788962539</v>
      </c>
      <c r="BG19" s="135">
        <f>IF(ISNUMBER((AY19+AZ19)/BA19),(AY19+AZ19)/BA19," - ")</f>
        <v>3.1513796824418066</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sjFPZcr/ehYOKqkpcqdcKlpBuSvXiGtPRq9R3sI5U7oQSzculp/ul1kvFSIPBMutyo6TEPhIfzunuEm077J+g==" saltValue="P2tCyiEfx6AgvL+oIdIbM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AMFDxqgDP23TaahQclpowpiWSOIWejN38Z73soo0YwoWOkTHynfQzScF8qpq0kM9uT8SoKBGp4sELQQmp4SMA==" saltValue="TtUUpTDouP86edSWoa/V4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MARBELLA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8</v>
      </c>
      <c r="B9" s="501" t="s">
        <v>246</v>
      </c>
      <c r="C9" s="160" t="str">
        <f>Datos!A9</f>
        <v xml:space="preserve">Jdos. 1ª Instancia   </v>
      </c>
      <c r="D9" s="502"/>
      <c r="E9" s="260">
        <f>IF(ISNUMBER(Datos!AQ9),Datos!AQ9," - ")</f>
        <v>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188</v>
      </c>
      <c r="O9" s="334"/>
      <c r="P9" s="334"/>
      <c r="Q9" s="226">
        <f>IF(ISNUMBER(Datos!P9),Datos!P9,0)</f>
        <v>719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619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299</v>
      </c>
      <c r="AI9" s="334" t="str">
        <f>IF(ISNUMBER(Datos!CD9),Datos!CD9,"-")</f>
        <v>-</v>
      </c>
      <c r="AJ9" s="334" t="str">
        <f>IF(ISNUMBER(Datos!EN9),Datos!EN9," - ")</f>
        <v xml:space="preserve"> - </v>
      </c>
      <c r="AK9" s="334"/>
      <c r="AL9" s="479"/>
      <c r="AM9" s="335">
        <f>IF(ISNUMBER(Datos!R9),Datos!R9," - ")</f>
        <v>10727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661</v>
      </c>
      <c r="BD9" s="229">
        <f>IF(ISNUMBER(Datos!N9),Datos!N9," - ")</f>
        <v>1153</v>
      </c>
      <c r="BE9" s="229" t="str">
        <f>IF(ISNUMBER(Datos!BW9),Datos!BW9," - ")</f>
        <v xml:space="preserve"> - </v>
      </c>
      <c r="BF9" s="228" t="str">
        <f>IF(ISNUMBER(Datos!BX9),Datos!BX9," - ")</f>
        <v xml:space="preserve"> - </v>
      </c>
      <c r="BG9" s="243">
        <f>IF(ISNUMBER(IF(J_V="SI",Datos!K9/Datos!J9,(Datos!K9+Datos!AA9)/(Datos!J9+Datos!Z9))),IF(J_V="SI",Datos!K9/Datos!J9,(Datos!K9+Datos!AA9)/(Datos!J9+Datos!Z9))," - ")</f>
        <v>0.90663960568280666</v>
      </c>
      <c r="BH9" s="260">
        <f>IF(ISNUMBER(((IF(J_V="SI",Datos!L9/Datos!K9,(Datos!L9+Datos!AB9)/(Datos!K9+Datos!AA9)))*11)/factor_trimestre),((IF(J_V="SI",Datos!L9/Datos!K9,(Datos!L9+Datos!AB9)/(Datos!K9+Datos!AA9)))*11)/factor_trimestre," - ")</f>
        <v>10.530220658778383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9.4099934130046116E-3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90</v>
      </c>
      <c r="G10" s="333">
        <f>IF(ISNUMBER(Datos!I10),Datos!I10," - ")</f>
        <v>90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61</v>
      </c>
      <c r="AC10" s="226">
        <f>IF(ISNUMBER(Datos!Q10),Datos!Q10," - ")</f>
        <v>0</v>
      </c>
      <c r="AD10" s="334"/>
      <c r="AE10" s="484"/>
      <c r="AF10" s="332">
        <f>IF(ISNUMBER(Datos!L10),Datos!L10,"-")</f>
        <v>84</v>
      </c>
      <c r="AG10" s="334"/>
      <c r="AH10" s="334"/>
      <c r="AI10" s="334"/>
      <c r="AJ10" s="334"/>
      <c r="AK10" s="334"/>
      <c r="AL10" s="479"/>
      <c r="AM10" s="335">
        <f>IF(ISNUMBER(Datos!R10),Datos!R10," - ")</f>
        <v>46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9</v>
      </c>
      <c r="BE10" s="229" t="str">
        <f>IF(ISNUMBER(Datos!BW10),Datos!BW10," - ")</f>
        <v xml:space="preserve"> - </v>
      </c>
      <c r="BF10" s="228" t="str">
        <f>IF(ISNUMBER(Datos!BX10),Datos!BX10," - ")</f>
        <v xml:space="preserve"> - </v>
      </c>
      <c r="BG10" s="243">
        <f>IF(ISNUMBER(Datos!K10/Datos!J10),Datos!K10/Datos!J10," - ")</f>
        <v>1.1090909090909091</v>
      </c>
      <c r="BH10" s="260">
        <f>IF(ISNUMBER(((Datos!L10/Datos!K10)*11)/factor_trimestre),((Datos!L10/Datos!K10)*11)/factor_trimestre," - ")</f>
        <v>4.1311475409836067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0.24324324324324326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90</v>
      </c>
      <c r="G13" s="898">
        <f t="shared" si="0"/>
        <v>90</v>
      </c>
      <c r="H13" s="899">
        <f t="shared" si="0"/>
        <v>0</v>
      </c>
      <c r="I13" s="898">
        <f t="shared" si="0"/>
        <v>0</v>
      </c>
      <c r="J13" s="867">
        <f t="shared" si="0"/>
        <v>0</v>
      </c>
      <c r="K13" s="867">
        <f t="shared" si="0"/>
        <v>0</v>
      </c>
      <c r="L13" s="899">
        <f t="shared" si="0"/>
        <v>0</v>
      </c>
      <c r="M13" s="899">
        <f t="shared" si="0"/>
        <v>0</v>
      </c>
      <c r="N13" s="899">
        <f t="shared" si="0"/>
        <v>188</v>
      </c>
      <c r="O13" s="900">
        <f t="shared" si="0"/>
        <v>0</v>
      </c>
      <c r="P13" s="900">
        <f t="shared" si="0"/>
        <v>0</v>
      </c>
      <c r="Q13" s="899">
        <f t="shared" si="0"/>
        <v>728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61</v>
      </c>
      <c r="AC13" s="899">
        <f t="shared" si="1"/>
        <v>619</v>
      </c>
      <c r="AD13" s="899">
        <f t="shared" si="1"/>
        <v>0</v>
      </c>
      <c r="AE13" s="899">
        <f t="shared" si="1"/>
        <v>0</v>
      </c>
      <c r="AF13" s="899">
        <f t="shared" si="1"/>
        <v>84</v>
      </c>
      <c r="AG13" s="899">
        <f t="shared" si="1"/>
        <v>0</v>
      </c>
      <c r="AH13" s="899">
        <f t="shared" si="1"/>
        <v>299</v>
      </c>
      <c r="AI13" s="899">
        <f t="shared" si="1"/>
        <v>0</v>
      </c>
      <c r="AJ13" s="899">
        <f t="shared" si="1"/>
        <v>0</v>
      </c>
      <c r="AK13" s="899">
        <f t="shared" si="1"/>
        <v>0</v>
      </c>
      <c r="AL13" s="899">
        <f t="shared" si="1"/>
        <v>0</v>
      </c>
      <c r="AM13" s="899">
        <f t="shared" si="1"/>
        <v>10773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669</v>
      </c>
      <c r="BD13" s="899">
        <f t="shared" si="1"/>
        <v>1162</v>
      </c>
      <c r="BE13" s="899">
        <f t="shared" si="1"/>
        <v>0</v>
      </c>
      <c r="BF13" s="899">
        <f t="shared" si="1"/>
        <v>0</v>
      </c>
      <c r="BG13" s="899">
        <f>IF(ISNUMBER(Datos!K13/Datos!J13),Datos!K13/Datos!J13," - ")</f>
        <v>0.9107358262967431</v>
      </c>
      <c r="BH13" s="903">
        <f>IF(ISNUMBER(((Datos!L13/Datos!K13)*11)/factor_trimestre),((Datos!L13/Datos!K13)*11)/factor_trimestre," - ")</f>
        <v>10.689735099337749</v>
      </c>
      <c r="BI13" s="899">
        <f>IF(ISNUMBER('Resol  Asuntos'!D13/NºAsuntos!G13),'Resol  Asuntos'!D13/NºAsuntos!G13," - ")</f>
        <v>0.20984943538268508</v>
      </c>
      <c r="BJ13" s="899" t="str">
        <f>IF(ISNUMBER(Datos!CI13/Datos!CJ13),Datos!CI13/Datos!CJ13," - ")</f>
        <v xml:space="preserve"> - </v>
      </c>
      <c r="BK13" s="899">
        <f>SUBTOTAL(9,BK8:BK12)</f>
        <v>0</v>
      </c>
      <c r="BL13" s="899">
        <f>IF(ISNUMBER((I13-AB13+L13)/(F13)),(I13-AB13+L13)/(F13)," - ")</f>
        <v>-0.67777777777777781</v>
      </c>
      <c r="BM13" s="904">
        <f>SUBTOTAL(9,BM9:BM12)</f>
        <v>0.25265323665624789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3904</v>
      </c>
      <c r="G15" s="598">
        <f>IF(ISNUMBER(IF(D_I="SI",Datos!I15,Datos!I15+Datos!AC15)),IF(D_I="SI",Datos!I15,Datos!I15+Datos!AC15)," - ")</f>
        <v>3832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97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4617</v>
      </c>
      <c r="AC15" s="226">
        <f>IF(ISNUMBER(Datos!Q15),Datos!Q15," - ")</f>
        <v>111</v>
      </c>
      <c r="AD15" s="334"/>
      <c r="AE15" s="484"/>
      <c r="AF15" s="596">
        <f>IF(ISNUMBER(IF(D_I="SI",Datos!L15,Datos!L15+Datos!AF15)),IF(D_I="SI",Datos!L15,Datos!L15+Datos!AF15)," - ")</f>
        <v>4119</v>
      </c>
      <c r="AG15" s="334"/>
      <c r="AH15" s="334"/>
      <c r="AI15" s="334"/>
      <c r="AJ15" s="334"/>
      <c r="AK15" s="334"/>
      <c r="AL15" s="479"/>
      <c r="AM15" s="335">
        <f>IF(ISNUMBER(Datos!R15),Datos!R15," - ")</f>
        <v>311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419</v>
      </c>
      <c r="BD15" s="229">
        <f>IF(ISNUMBER(Datos!N15),Datos!N15," - ")</f>
        <v>3296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0.95550496688741726</v>
      </c>
      <c r="BH15" s="260">
        <f>IF(ISNUMBER(((IF(D_I="SI",Datos!L15/Datos!K15,(Datos!L15+Datos!AF15)/(Datos!K15+Datos!AE15)))*11)/factor_trimestre),((IF(D_I="SI",Datos!L15/Datos!K15,(Datos!L15+Datos!AF15)/(Datos!K15+Datos!AE15)))*11)/factor_trimestre," - ")</f>
        <v>2.6764132553606239</v>
      </c>
      <c r="BI15" s="243">
        <f>IF(ISNUMBER('Resol  Asuntos'!D15/NºAsuntos!G15),'Resol  Asuntos'!D15/NºAsuntos!G15," - ")</f>
        <v>9.0751570283734026E-2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175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555</v>
      </c>
      <c r="AC17" s="226">
        <f>IF(ISNUMBER(Datos!Q17),Datos!Q17," - ")</f>
        <v>18</v>
      </c>
      <c r="AD17" s="334"/>
      <c r="AE17" s="484"/>
      <c r="AF17" s="332">
        <f>IF(ISNUMBER(Datos!L17),Datos!L17,"-")</f>
        <v>559</v>
      </c>
      <c r="AG17" s="334"/>
      <c r="AH17" s="334"/>
      <c r="AI17" s="334"/>
      <c r="AJ17" s="334"/>
      <c r="AK17" s="334"/>
      <c r="AL17" s="479"/>
      <c r="AM17" s="335">
        <f>IF(ISNUMBER(Datos!R17),Datos!R17," - ")</f>
        <v>48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46</v>
      </c>
      <c r="BD17" s="229">
        <f>IF(ISNUMBER(Datos!N17),Datos!N17," - ")</f>
        <v>239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0.59105431309904155</v>
      </c>
      <c r="BH17" s="260">
        <f>IF(ISNUMBER(((IF(D_I="SI",Datos!L17/Datos!K17,(Datos!L17+Datos!AF17)/(Datos!K17+Datos!AE17)))*11)/factor_trimestre),((IF(D_I="SI",Datos!L17/Datos!K17,(Datos!L17+Datos!AF17)/(Datos!K17+Datos!AE17)))*11)/factor_trimestre," - ")</f>
        <v>3.0216216216216214</v>
      </c>
      <c r="BI17" s="243">
        <f>IF(ISNUMBER('Resol  Asuntos'!D17/NºAsuntos!G17),'Resol  Asuntos'!D17/NºAsuntos!G17," - ")</f>
        <v>8.2882882882882883E-2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3904</v>
      </c>
      <c r="G18" s="898">
        <f>SUBTOTAL(9,G15:G17)</f>
        <v>4007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5172</v>
      </c>
      <c r="AC18" s="899">
        <f t="shared" si="4"/>
        <v>129</v>
      </c>
      <c r="AD18" s="899">
        <f t="shared" si="4"/>
        <v>0</v>
      </c>
      <c r="AE18" s="899">
        <f t="shared" si="4"/>
        <v>0</v>
      </c>
      <c r="AF18" s="899">
        <f t="shared" si="4"/>
        <v>4678</v>
      </c>
      <c r="AG18" s="899">
        <f t="shared" si="4"/>
        <v>0</v>
      </c>
      <c r="AH18" s="899">
        <f t="shared" si="4"/>
        <v>0</v>
      </c>
      <c r="AI18" s="899">
        <f t="shared" si="4"/>
        <v>0</v>
      </c>
      <c r="AJ18" s="899">
        <f t="shared" si="4"/>
        <v>0</v>
      </c>
      <c r="AK18" s="899">
        <f t="shared" si="4"/>
        <v>0</v>
      </c>
      <c r="AL18" s="899">
        <f t="shared" si="4"/>
        <v>0</v>
      </c>
      <c r="AM18" s="899">
        <f t="shared" si="4"/>
        <v>359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465</v>
      </c>
      <c r="BD18" s="899">
        <f t="shared" si="4"/>
        <v>3535</v>
      </c>
      <c r="BE18" s="899">
        <f t="shared" si="4"/>
        <v>0</v>
      </c>
      <c r="BF18" s="899">
        <f t="shared" si="4"/>
        <v>0</v>
      </c>
      <c r="BG18" s="899">
        <f>IF(ISNUMBER(Datos!K18/Datos!J18),Datos!K18/Datos!J18," - ")</f>
        <v>0.89620516374978343</v>
      </c>
      <c r="BH18" s="903">
        <f>IF(ISNUMBER(((Datos!L18/Datos!K18)*11)/factor_trimestre),((Datos!L18/Datos!K18)*11)/factor_trimestre," - ")</f>
        <v>2.7134570765661254</v>
      </c>
      <c r="BI18" s="899">
        <f>SUBTOTAL(9,BI15:BI17)</f>
        <v>0.17363445316661691</v>
      </c>
      <c r="BJ18" s="899">
        <f>SUBTOTAL(9,BJ15:BJ17)</f>
        <v>0</v>
      </c>
      <c r="BK18" s="899">
        <f>SUBTOTAL(9,BK15:BK17)</f>
        <v>0</v>
      </c>
      <c r="BL18" s="899">
        <f>IF(ISNUMBER((I18-AB18+L18)/(F18)),(I18-AB18+L18)/(F18)," - ")</f>
        <v>-1.3247950819672132</v>
      </c>
      <c r="BM18" s="905">
        <f>IF(ISNUMBER((Datos!P18-Datos!Q18)/(Datos!R18-Datos!P18+Datos!Q18)),(Datos!P18-Datos!Q18)/(Datos!R18-Datos!P18+Datos!Q18)," - ")</f>
        <v>9.1185410334346503E-2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15</v>
      </c>
      <c r="F19" s="820">
        <f t="shared" si="6"/>
        <v>3994</v>
      </c>
      <c r="G19" s="820">
        <f t="shared" si="6"/>
        <v>4097</v>
      </c>
      <c r="H19" s="822">
        <f t="shared" si="6"/>
        <v>0</v>
      </c>
      <c r="I19" s="820">
        <f t="shared" si="6"/>
        <v>0</v>
      </c>
      <c r="J19" s="822">
        <f t="shared" si="6"/>
        <v>0</v>
      </c>
      <c r="K19" s="822">
        <f t="shared" si="6"/>
        <v>0</v>
      </c>
      <c r="L19" s="881">
        <f t="shared" si="6"/>
        <v>0</v>
      </c>
      <c r="M19" s="881">
        <f t="shared" si="6"/>
        <v>0</v>
      </c>
      <c r="N19" s="881">
        <f t="shared" si="6"/>
        <v>188</v>
      </c>
      <c r="O19" s="881">
        <f t="shared" si="6"/>
        <v>0</v>
      </c>
      <c r="P19" s="881">
        <f t="shared" si="6"/>
        <v>0</v>
      </c>
      <c r="Q19" s="822">
        <f t="shared" si="6"/>
        <v>887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5233</v>
      </c>
      <c r="AC19" s="821">
        <f t="shared" si="7"/>
        <v>748</v>
      </c>
      <c r="AD19" s="821">
        <f t="shared" si="7"/>
        <v>0</v>
      </c>
      <c r="AE19" s="821">
        <f t="shared" si="7"/>
        <v>0</v>
      </c>
      <c r="AF19" s="828">
        <f t="shared" si="7"/>
        <v>4762</v>
      </c>
      <c r="AG19" s="828">
        <f t="shared" si="7"/>
        <v>0</v>
      </c>
      <c r="AH19" s="828">
        <f t="shared" si="7"/>
        <v>299</v>
      </c>
      <c r="AI19" s="828">
        <f t="shared" si="7"/>
        <v>0</v>
      </c>
      <c r="AJ19" s="821">
        <f t="shared" si="7"/>
        <v>0</v>
      </c>
      <c r="AK19" s="828">
        <f t="shared" si="7"/>
        <v>0</v>
      </c>
      <c r="AL19" s="828">
        <f t="shared" si="7"/>
        <v>0</v>
      </c>
      <c r="AM19" s="828">
        <f t="shared" si="7"/>
        <v>11132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1134</v>
      </c>
      <c r="BD19" s="820">
        <f t="shared" si="7"/>
        <v>4697</v>
      </c>
      <c r="BE19" s="820">
        <f t="shared" si="7"/>
        <v>0</v>
      </c>
      <c r="BF19" s="830">
        <f t="shared" si="7"/>
        <v>0</v>
      </c>
      <c r="BG19" s="915">
        <f>IF(ISNUMBER(Datos!K19/Datos!J19),Datos!K19/Datos!J19," - ")</f>
        <v>0.90150764828876417</v>
      </c>
      <c r="BH19" s="915">
        <f>IF(ISNUMBER(((Datos!L19/Datos!K19)*11)/factor_trimestre),((Datos!L19/Datos!K19)*11)/factor_trimestre," - ")</f>
        <v>5.6539306640625</v>
      </c>
      <c r="BI19" s="813">
        <f>IF(ISNUMBER(Datos!J19/Datos!I19),Datos!J19/Datos!I19," - ")</f>
        <v>0.62790215588723053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-1.3102153229844766</v>
      </c>
      <c r="BM19" s="889">
        <f>IF(ISNUMBER((Datos!P19-Datos!Q19+R19)/(Datos!R19-Datos!P19+Datos!Q19-R19)),(Datos!P19-Datos!Q19+R19)/(Datos!R19-Datos!P19+Datos!Q19-R19)," - ")</f>
        <v>1.2644410079141272E-2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1638.8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3.6742346141747673</v>
      </c>
      <c r="F21" s="551">
        <f>IF(ISNUMBER(STDEV(F8:F18)),STDEV(F8:F18),"-")</f>
        <v>2202.0139266892324</v>
      </c>
      <c r="G21" s="552">
        <f>IF(ISNUMBER(STDEV(G8:G18)),STDEV(G8:G18),"-")</f>
        <v>2083.1929099341714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2572.6595577339804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290.22198400534717</v>
      </c>
      <c r="BD21" s="551"/>
      <c r="BE21" s="551">
        <f>IF(ISNUMBER(STDEV(BE8:BE18)),STDEV(BE8:BE18),"-")</f>
        <v>0</v>
      </c>
      <c r="BF21" s="556">
        <f>IF(ISNUMBER(STDEV(BF8:BF18)),STDEV(BF8:BF18),"-")</f>
        <v>0</v>
      </c>
      <c r="BG21" s="775">
        <f>IF(ISNUMBER(STDEV(BG8:BG18)),STDEV(BG8:BG18),"-")</f>
        <v>0.16867910327787181</v>
      </c>
      <c r="BH21" s="776">
        <f>IF(ISNUMBER(STDEV(BH8:BH18)),STDEV(BH8:BH18),"-")</f>
        <v>3.8959754884671276</v>
      </c>
      <c r="BI21" s="249">
        <f>IF(ISNUMBER(STDEV(BI8:BI18)),STDEV(BI8:BI18),"-")</f>
        <v>6.2439082236926874E-2</v>
      </c>
      <c r="BJ21" s="230" t="str">
        <f>IF(ISNUMBER(BL21/BM21),BL21/BM21," - ")</f>
        <v xml:space="preserve"> - </v>
      </c>
      <c r="BK21" s="575"/>
      <c r="BL21" s="559">
        <f>IF(ISNUMBER(STDEV(BL8:BL18)),STDEV(BL8:BL18),"-")</f>
        <v>0.45751032333738872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A+GLg0Abvx2NN5M/O45s6KfUlpGLK0Nwg4mMew/TsR46ryVDwMN2ts38v/XaRAJd1gVtfdQkvcGVmsFkDK2L4Q==" saltValue="t+2H6S63n/wsWHVxfdbIK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MARBELLA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719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619</v>
      </c>
      <c r="AA9" s="332" t="str">
        <f>IF(ISNUMBER(IF(J_V="SI",Datos!L9,Datos!L9+Datos!AB9)-IF(Monitorios="SI",Datos!CD9,0)),
                          IF(J_V="SI",Datos!L9,Datos!L9+Datos!AB9)-IF(Monitorios="SI",Datos!CD9,0),
                          " - ")</f>
        <v xml:space="preserve"> - </v>
      </c>
      <c r="AB9" s="334"/>
      <c r="AC9" s="334"/>
      <c r="AD9" s="484"/>
      <c r="AE9" s="484">
        <f>IF(ISNUMBER(Datos!R9),Datos!R9," - ")</f>
        <v>10727</v>
      </c>
      <c r="AF9" s="229" t="str">
        <f>IF(ISNUMBER(Datos!BV9),Datos!BV9," - ")</f>
        <v xml:space="preserve"> - </v>
      </c>
      <c r="AG9" s="225" t="str">
        <f>IF(ISNUMBER(Datos!DV9),Datos!DV9," - ")</f>
        <v xml:space="preserve"> - </v>
      </c>
      <c r="AH9" s="298"/>
      <c r="AI9" s="227"/>
      <c r="AJ9" s="225">
        <f>IF(ISNUMBER(Datos!M9),Datos!M9," - ")</f>
        <v>661</v>
      </c>
      <c r="AK9" s="229">
        <f>IF(ISNUMBER(Datos!N9),Datos!N9," - ")</f>
        <v>1153</v>
      </c>
      <c r="AL9" s="229" t="str">
        <f>IF(ISNUMBER(Datos!BW9),Datos!BW9," - ")</f>
        <v xml:space="preserve"> - </v>
      </c>
      <c r="AM9" s="228" t="str">
        <f>IF(ISNUMBER(Datos!BX9),Datos!BX9," - ")</f>
        <v xml:space="preserve"> - </v>
      </c>
      <c r="AN9" s="243"/>
      <c r="AO9" s="260">
        <f>IF(ISNUMBER(((NºAsuntos!I9/NºAsuntos!G9)*11)/factor_trimestre),((NºAsuntos!I9/NºAsuntos!G9)*11)/factor_trimestre," - ")</f>
        <v>10.530220658778383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9.4099934130046116E-3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90</v>
      </c>
      <c r="G10" s="225">
        <f>IF(ISNUMBER(Datos!I10),Datos!I10," - ")</f>
        <v>90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61</v>
      </c>
      <c r="Z10" s="619">
        <f>IF(ISNUMBER(Datos!Q10),Datos!Q10," - ")</f>
        <v>0</v>
      </c>
      <c r="AA10" s="332">
        <f>IF(ISNUMBER(Datos!L10),Datos!L10,"-")</f>
        <v>84</v>
      </c>
      <c r="AB10" s="334"/>
      <c r="AC10" s="334"/>
      <c r="AD10" s="484"/>
      <c r="AE10" s="484">
        <f>IF(ISNUMBER(Datos!R10),Datos!R10," - ")</f>
        <v>46</v>
      </c>
      <c r="AF10" s="229" t="str">
        <f>IF(ISNUMBER(Datos!BV10),Datos!BV10," - ")</f>
        <v xml:space="preserve"> - </v>
      </c>
      <c r="AG10" s="225" t="str">
        <f>IF(ISNUMBER(Datos!DV10),Datos!DV10," - ")</f>
        <v xml:space="preserve"> - </v>
      </c>
      <c r="AH10" s="298"/>
      <c r="AI10" s="227"/>
      <c r="AJ10" s="225">
        <f>IF(ISNUMBER(Datos!M10),Datos!M10," - ")</f>
        <v>8</v>
      </c>
      <c r="AK10" s="229">
        <f>IF(ISNUMBER(Datos!N10),Datos!N10," - ")</f>
        <v>9</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4.1311475409836067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0.24324324324324326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90</v>
      </c>
      <c r="G13" s="898">
        <f>SUBTOTAL(9,G8:G12)</f>
        <v>90</v>
      </c>
      <c r="H13" s="908"/>
      <c r="I13" s="898">
        <f t="shared" ref="I13:N13" si="0">SUBTOTAL(9,I8:I12)</f>
        <v>0</v>
      </c>
      <c r="J13" s="867">
        <f t="shared" si="0"/>
        <v>0</v>
      </c>
      <c r="K13" s="908">
        <f t="shared" si="0"/>
        <v>0</v>
      </c>
      <c r="L13" s="908">
        <f t="shared" si="0"/>
        <v>0</v>
      </c>
      <c r="M13" s="908">
        <f t="shared" si="0"/>
        <v>0</v>
      </c>
      <c r="N13" s="908">
        <f t="shared" si="0"/>
        <v>728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61</v>
      </c>
      <c r="Z13" s="907">
        <f t="shared" si="2"/>
        <v>619</v>
      </c>
      <c r="AA13" s="900">
        <f t="shared" si="2"/>
        <v>84</v>
      </c>
      <c r="AB13" s="900">
        <f t="shared" si="2"/>
        <v>0</v>
      </c>
      <c r="AC13" s="900">
        <f t="shared" si="2"/>
        <v>0</v>
      </c>
      <c r="AD13" s="900">
        <f t="shared" si="2"/>
        <v>0</v>
      </c>
      <c r="AE13" s="900">
        <f t="shared" si="2"/>
        <v>10773</v>
      </c>
      <c r="AF13" s="908">
        <f t="shared" si="2"/>
        <v>0</v>
      </c>
      <c r="AG13" s="908">
        <f t="shared" si="2"/>
        <v>0</v>
      </c>
      <c r="AH13" s="908">
        <f t="shared" si="2"/>
        <v>0</v>
      </c>
      <c r="AI13" s="908">
        <f t="shared" si="2"/>
        <v>0</v>
      </c>
      <c r="AJ13" s="908">
        <f t="shared" si="2"/>
        <v>669</v>
      </c>
      <c r="AK13" s="908">
        <f t="shared" si="2"/>
        <v>1162</v>
      </c>
      <c r="AL13" s="908">
        <f t="shared" si="2"/>
        <v>0</v>
      </c>
      <c r="AM13" s="908">
        <f t="shared" si="2"/>
        <v>0</v>
      </c>
      <c r="AN13" s="908">
        <f t="shared" si="2"/>
        <v>0</v>
      </c>
      <c r="AO13" s="904">
        <f>IF(ISNUMBER(((NºAsuntos!I13/NºAsuntos!G13)*11)/factor_trimestre),((NºAsuntos!I13/NºAsuntos!G13)*11)/factor_trimestre," - ")</f>
        <v>10.407779171894605</v>
      </c>
      <c r="AP13" s="910" t="str">
        <f>IF(ISNUMBER(Datos!CI13/Datos!CJ13),Datos!CI13/Datos!CJ13," - ")</f>
        <v xml:space="preserve"> - </v>
      </c>
      <c r="AQ13" s="928">
        <f t="shared" ref="AQ13:AV13" si="3">SUBTOTAL(9,AQ9:AQ12)</f>
        <v>0</v>
      </c>
      <c r="AR13" s="928">
        <f t="shared" si="3"/>
        <v>0.25265323665624789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3904</v>
      </c>
      <c r="G15" s="225">
        <f>IF(ISNUMBER(IF(D_I="SI",Datos!I15,Datos!I15+Datos!AC15)),IF(D_I="SI",Datos!I15,Datos!I15+Datos!AC15)," - ")</f>
        <v>3832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97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4617</v>
      </c>
      <c r="Z15" s="619">
        <f>IF(ISNUMBER(Datos!Q15),Datos!Q15," - ")</f>
        <v>111</v>
      </c>
      <c r="AA15" s="332">
        <f>IF(ISNUMBER(IF(D_I="SI",Datos!L15,Datos!L15+Datos!AF15)),IF(D_I="SI",Datos!L15,Datos!L15+Datos!AF15)," - ")</f>
        <v>4119</v>
      </c>
      <c r="AB15" s="334"/>
      <c r="AC15" s="334"/>
      <c r="AD15" s="484"/>
      <c r="AE15" s="484">
        <f>IF(ISNUMBER(Datos!R15),Datos!R15," - ")</f>
        <v>311</v>
      </c>
      <c r="AF15" s="229" t="str">
        <f>IF(ISNUMBER(Datos!BV15),Datos!BV15," - ")</f>
        <v xml:space="preserve"> - </v>
      </c>
      <c r="AG15" s="225"/>
      <c r="AH15" s="298"/>
      <c r="AI15" s="227"/>
      <c r="AJ15" s="225">
        <f>IF(ISNUMBER(Datos!M15),Datos!M15," - ")</f>
        <v>419</v>
      </c>
      <c r="AK15" s="229">
        <f>IF(ISNUMBER(Datos!N15),Datos!N15," - ")</f>
        <v>3296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2.6764132553606239</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175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555</v>
      </c>
      <c r="Z17" s="619">
        <f>IF(ISNUMBER(Datos!Q17),Datos!Q17," - ")</f>
        <v>18</v>
      </c>
      <c r="AA17" s="332">
        <f>IF(ISNUMBER(Datos!L17),Datos!L17,"-")</f>
        <v>559</v>
      </c>
      <c r="AB17" s="334"/>
      <c r="AC17" s="334"/>
      <c r="AD17" s="484"/>
      <c r="AE17" s="484">
        <f>IF(ISNUMBER(Datos!R17),Datos!R17," - ")</f>
        <v>48</v>
      </c>
      <c r="AF17" s="229" t="str">
        <f>IF(ISNUMBER(Datos!BV17),Datos!BV17," - ")</f>
        <v xml:space="preserve"> - </v>
      </c>
      <c r="AG17" s="225" t="str">
        <f>IF(ISNUMBER(Datos!DV17),Datos!DV17," - ")</f>
        <v xml:space="preserve"> - </v>
      </c>
      <c r="AH17" s="298"/>
      <c r="AI17" s="227"/>
      <c r="AJ17" s="225">
        <f>IF(ISNUMBER(Datos!M17),Datos!M17," - ")</f>
        <v>46</v>
      </c>
      <c r="AK17" s="229">
        <f>IF(ISNUMBER(Datos!N17),Datos!N17," - ")</f>
        <v>239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3.0216216216216214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3904</v>
      </c>
      <c r="G18" s="898">
        <f>SUBTOTAL(9,G15:G17)</f>
        <v>4007</v>
      </c>
      <c r="H18" s="932">
        <f>SUBTOTAL(9,H15:H17)</f>
        <v>0</v>
      </c>
      <c r="I18" s="911">
        <f>SUBTOTAL(9,I15:I17)</f>
        <v>0</v>
      </c>
      <c r="J18" s="867">
        <f>SUBTOTAL(9,J14:J17)</f>
        <v>0</v>
      </c>
      <c r="K18" s="932">
        <f t="shared" ref="K18:S18" si="4">SUBTOTAL(9,K15:K17)</f>
        <v>0</v>
      </c>
      <c r="L18" s="932">
        <f t="shared" si="4"/>
        <v>0</v>
      </c>
      <c r="M18" s="932">
        <f t="shared" si="4"/>
        <v>0</v>
      </c>
      <c r="N18" s="932">
        <f t="shared" si="4"/>
        <v>159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5172</v>
      </c>
      <c r="Z18" s="932">
        <f t="shared" si="5"/>
        <v>129</v>
      </c>
      <c r="AA18" s="932">
        <f t="shared" si="5"/>
        <v>4678</v>
      </c>
      <c r="AB18" s="932">
        <f t="shared" si="5"/>
        <v>0</v>
      </c>
      <c r="AC18" s="932">
        <f t="shared" si="5"/>
        <v>0</v>
      </c>
      <c r="AD18" s="932">
        <f t="shared" si="5"/>
        <v>0</v>
      </c>
      <c r="AE18" s="932">
        <f t="shared" si="5"/>
        <v>359</v>
      </c>
      <c r="AF18" s="932">
        <f t="shared" si="5"/>
        <v>0</v>
      </c>
      <c r="AG18" s="932">
        <f t="shared" si="5"/>
        <v>0</v>
      </c>
      <c r="AH18" s="932">
        <f t="shared" si="5"/>
        <v>0</v>
      </c>
      <c r="AI18" s="932">
        <f t="shared" si="5"/>
        <v>0</v>
      </c>
      <c r="AJ18" s="932">
        <f t="shared" si="5"/>
        <v>465</v>
      </c>
      <c r="AK18" s="932">
        <f t="shared" si="5"/>
        <v>3535</v>
      </c>
      <c r="AL18" s="932">
        <f t="shared" si="5"/>
        <v>0</v>
      </c>
      <c r="AM18" s="932">
        <f t="shared" si="5"/>
        <v>0</v>
      </c>
      <c r="AN18" s="932">
        <f t="shared" si="5"/>
        <v>0</v>
      </c>
      <c r="AO18" s="934">
        <f>IF(ISNUMBER(((NºAsuntos!I18/NºAsuntos!G18)*11)/factor_trimestre),((NºAsuntos!I18/NºAsuntos!G18)*11)/factor_trimestre," - ")</f>
        <v>2.7134570765661254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3994</v>
      </c>
      <c r="G19" s="820">
        <f t="shared" si="7"/>
        <v>4097</v>
      </c>
      <c r="H19" s="821">
        <f t="shared" si="7"/>
        <v>0</v>
      </c>
      <c r="I19" s="820">
        <f t="shared" si="7"/>
        <v>0</v>
      </c>
      <c r="J19" s="822">
        <f t="shared" si="7"/>
        <v>0</v>
      </c>
      <c r="K19" s="820">
        <f t="shared" si="7"/>
        <v>0</v>
      </c>
      <c r="L19" s="823">
        <f t="shared" si="7"/>
        <v>0</v>
      </c>
      <c r="M19" s="820">
        <f t="shared" si="7"/>
        <v>0</v>
      </c>
      <c r="N19" s="821">
        <f t="shared" si="7"/>
        <v>887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5233</v>
      </c>
      <c r="Z19" s="827">
        <f t="shared" si="8"/>
        <v>748</v>
      </c>
      <c r="AA19" s="828">
        <f t="shared" si="8"/>
        <v>4762</v>
      </c>
      <c r="AB19" s="828">
        <f t="shared" si="8"/>
        <v>0</v>
      </c>
      <c r="AC19" s="828">
        <f t="shared" si="8"/>
        <v>0</v>
      </c>
      <c r="AD19" s="829">
        <f t="shared" si="8"/>
        <v>0</v>
      </c>
      <c r="AE19" s="829">
        <f t="shared" si="8"/>
        <v>11132</v>
      </c>
      <c r="AF19" s="830">
        <f t="shared" si="8"/>
        <v>0</v>
      </c>
      <c r="AG19" s="831">
        <f t="shared" si="8"/>
        <v>0</v>
      </c>
      <c r="AH19" s="832">
        <f t="shared" si="8"/>
        <v>0</v>
      </c>
      <c r="AI19" s="830">
        <f t="shared" si="8"/>
        <v>0</v>
      </c>
      <c r="AJ19" s="820">
        <f t="shared" si="8"/>
        <v>1134</v>
      </c>
      <c r="AK19" s="820">
        <f t="shared" si="8"/>
        <v>4697</v>
      </c>
      <c r="AL19" s="820">
        <f t="shared" si="8"/>
        <v>0</v>
      </c>
      <c r="AM19" s="833">
        <f t="shared" si="8"/>
        <v>0</v>
      </c>
      <c r="AN19" s="823">
        <f>IF(ISNUMBER(Datos!K19/Datos!J19),Datos!K19/Datos!J19," - ")</f>
        <v>0.90150764828876417</v>
      </c>
      <c r="AO19" s="823">
        <f>IF(ISNUMBER(FIND("06",Criterios!A8,1)),(IF(ISNUMBER(((Datos!R19/Datos!Q19)*11)/factor_trimestre),((Datos!R19/Datos!Q19)*11)/factor_trimestre," - ")),(IF(ISNUMBER(((Datos!L19/Datos!K19)*11)/factor_trimestre),((Datos!L19/Datos!K19)*11)/factor_trimestre," - ")))</f>
        <v>5.6539306640625</v>
      </c>
      <c r="AP19" s="834" t="str">
        <f>IF(ISNUMBER(Datos!CI19/Datos!CJ19),Datos!CI19/Datos!CJ19," - ")</f>
        <v xml:space="preserve"> - </v>
      </c>
      <c r="AQ19" s="834">
        <f>IF(OR(ISNUMBER(FIND("01",Criterios!A8,1)),ISNUMBER(FIND("02",Criterios!A8,1)),ISNUMBER(FIND("03",Criterios!A8,1)),ISNUMBER(FIND("04",Criterios!A8,1))),(J19-Y19+K19)/(F19-K19),(I19-Y19+K19)/(F19-K19))</f>
        <v>-1.3102153229844766</v>
      </c>
      <c r="AR19" s="834">
        <f>IF(ISNUMBER((Datos!P19-Datos!Q19+O19)/(Datos!R19-Datos!P19+Datos!Q19-O19)),(Datos!P19-Datos!Q19+O19)/(Datos!R19-Datos!P19+Datos!Q19-O19)," - ")</f>
        <v>1.2644410079141272E-2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1638.8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2202.0139266892324</v>
      </c>
      <c r="G21" s="552">
        <f>IF(ISNUMBER(STDEV(G8:G18)),STDEV(G8:G18),"-")</f>
        <v>2083.1929099341714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290.22198400534717</v>
      </c>
      <c r="AK21" s="252"/>
      <c r="AL21" s="252">
        <f>IF(ISNUMBER(STDEV(AL8:AL18)),STDEV(AL8:AL18),"-")</f>
        <v>0</v>
      </c>
      <c r="AM21" s="254">
        <f>IF(ISNUMBER(STDEV(AM8:AM18)),STDEV(AM8:AM18),"-")</f>
        <v>0</v>
      </c>
      <c r="AN21" s="539">
        <f>IF(ISNUMBER(STDEV(AN8:AN18)),STDEV(AN8:AN18),"-")</f>
        <v>0</v>
      </c>
      <c r="AO21" s="540">
        <f>IF(ISNUMBER(STDEV(AO8:AO18)),STDEV(AO8:AO18),"-")</f>
        <v>3.8237283879883273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pkiwuuCPk165+KSRXZyehthISjtIikILjUdIoiLmGzPe1m5ZV9T06RXk9ulj+wkDnrvC8zsl4Hq+W2VMczFvUA==" saltValue="kX8kTF98OqnM988cl5xV0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m0ZnZ2+y4/9rk3fROWM+ZCe/sKAW4BYauPYi1Snqr1S6Hm6UeLHVKZJw7tvGyStczfVIsOfEsNFM5Uzi1N55g==" saltValue="5lFIbxMoxzBnpgHEyY6mn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auAwF1Zbs820L0WJKXrTKf/e6KI3je/LwuAKD8GVgPgBdTjtI+AzDieWkVMhKleGN5/sNQCJjDhAzLeyKNwkQ==" saltValue="bw3b9ccwl02Po2FQRRAn5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MARBELLA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0.20984943538268508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0.14838595878726485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viDJoEKtkbzJO8GR4ousOXoy6ktvWsDCn3Tae087CQDar2/jgXA8pPtS9Pmsbs+Q+Jgbv/14347biTx7O/X/pw==" saltValue="RzMR0dKy4Ks7oQM3n5Mui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4OypIamJ8RC0seEfyq0PQiqldBjShBLW/QvBpwoplU9P0dYNWM4PaqIUPXFz3ZmBWKE1nRuV61P9vVL2wzjKHg==" saltValue="dmfmDlRo1ZwZiZmrFnzxN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MARBELLA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8</v>
      </c>
      <c r="C9" s="403">
        <f>IF(ISNUMBER(IF(J_V="SI",Datos!I9,Datos!I9+Datos!Y9)),IF(J_V="SI",Datos!I9,Datos!I9+Datos!Y9)," - ")</f>
        <v>10654</v>
      </c>
      <c r="D9" s="404">
        <f>IF(ISNUMBER(C9/Datos!BH9),C9/Datos!BH9," - ")</f>
        <v>1331.75</v>
      </c>
      <c r="E9" s="403">
        <f>IF(ISNUMBER(IF(J_V="SI",Datos!J9,Datos!J9+Datos!Z9)),IF(J_V="SI",Datos!J9,Datos!J9+Datos!Z9)," - ")</f>
        <v>3449</v>
      </c>
      <c r="F9" s="404">
        <f>IF(ISNUMBER(E9/B9),E9/B9," - ")</f>
        <v>431.125</v>
      </c>
      <c r="G9" s="403">
        <f>IF(ISNUMBER(IF(J_V="SI",Datos!K9,Datos!K9+Datos!AA9)),IF(J_V="SI",Datos!K9,Datos!K9+Datos!AA9)," - ")</f>
        <v>3127</v>
      </c>
      <c r="H9" s="404">
        <f>IF(ISNUMBER(G9/B9),G9/B9," - ")</f>
        <v>390.875</v>
      </c>
      <c r="I9" s="403">
        <f>IF(ISNUMBER(IF(J_V="SI",Datos!L9,Datos!L9+Datos!AB9)),IF(J_V="SI",Datos!L9,Datos!L9+Datos!AB9)," - ")</f>
        <v>10976</v>
      </c>
      <c r="J9" s="404">
        <f>IF(ISNUMBER(I9/B9),I9/B9," - ")</f>
        <v>1372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90</v>
      </c>
      <c r="D10" s="404">
        <f>IF(ISNUMBER(C10/Datos!BH10),C10/Datos!BH10," - ")</f>
        <v>90</v>
      </c>
      <c r="E10" s="403">
        <f>IF(ISNUMBER(Datos!J10),Datos!J10," - ")</f>
        <v>55</v>
      </c>
      <c r="F10" s="404">
        <f>IF(ISNUMBER(E10/B10),E10/B10," - ")</f>
        <v>55</v>
      </c>
      <c r="G10" s="403">
        <f>IF(ISNUMBER(Datos!K10),Datos!K10," - ")</f>
        <v>61</v>
      </c>
      <c r="H10" s="404">
        <f>IF(ISNUMBER(G10/B10),G10/B10," - ")</f>
        <v>61</v>
      </c>
      <c r="I10" s="403">
        <f>IF(ISNUMBER(Datos!L10),Datos!L10," - ")</f>
        <v>84</v>
      </c>
      <c r="J10" s="404">
        <f>IF(ISNUMBER(I10/B10),I10/B10," - ")</f>
        <v>84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10744</v>
      </c>
      <c r="D13" s="850" t="str">
        <f>IF(ISNUMBER(C13/Datos!BI13),C13/Datos!BI13," - ")</f>
        <v xml:space="preserve"> - </v>
      </c>
      <c r="E13" s="849">
        <f>SUBTOTAL(9,E8:E12)</f>
        <v>3504</v>
      </c>
      <c r="F13" s="850">
        <f>IF(ISNUMBER(E13/B13),E13/B13," - ")</f>
        <v>389.33333333333331</v>
      </c>
      <c r="G13" s="849">
        <f>SUBTOTAL(9,G8:G12)</f>
        <v>3188</v>
      </c>
      <c r="H13" s="850">
        <f>IF(ISNUMBER(G13/B13),G13/B13," - ")</f>
        <v>354.22222222222223</v>
      </c>
      <c r="I13" s="849">
        <f>SUBTOTAL(9,I8:I12)</f>
        <v>11060</v>
      </c>
      <c r="J13" s="850">
        <f>IF(ISNUMBER(I13/B13),I13/B13," - ")</f>
        <v>1228.8888888888889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3832</v>
      </c>
      <c r="D15" s="404">
        <f>IF(ISNUMBER(C15/Datos!BH15),C15/Datos!BH15," - ")</f>
        <v>766.4</v>
      </c>
      <c r="E15" s="403">
        <f>IF(ISNUMBER(IF(D_I="SI",Datos!J15,Datos!J15+Datos!AD15)),IF(D_I="SI",Datos!J15,Datos!J15+Datos!AD15)," - ")</f>
        <v>4832</v>
      </c>
      <c r="F15" s="404">
        <f>IF(ISNUMBER(E15/B15),E15/B15," - ")</f>
        <v>966.4</v>
      </c>
      <c r="G15" s="403">
        <f>IF(ISNUMBER(IF(D_I="SI",Datos!K15,Datos!K15+Datos!AE15)),IF(D_I="SI",Datos!K15,Datos!K15+Datos!AE15)," - ")</f>
        <v>4617</v>
      </c>
      <c r="H15" s="404">
        <f>IF(ISNUMBER(G15/B15),G15/B15," - ")</f>
        <v>923.4</v>
      </c>
      <c r="I15" s="403">
        <f>IF(ISNUMBER(IF(D_I="SI",Datos!L15,Datos!L15+Datos!AF15)),IF(D_I="SI",Datos!L15,Datos!L15+Datos!AF15)," - ")</f>
        <v>4119</v>
      </c>
      <c r="J15" s="404">
        <f>IF(ISNUMBER(I15/B15),I15/B15," - ")</f>
        <v>823.8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175</v>
      </c>
      <c r="D17" s="404">
        <f>IF(ISNUMBER(C17/Datos!BH17),C17/Datos!BH17," - ")</f>
        <v>175</v>
      </c>
      <c r="E17" s="403">
        <f>IF(ISNUMBER(IF(D_I="SI",Datos!J17,Datos!J17+Datos!AD17)),IF(D_I="SI",Datos!J17,Datos!J17+Datos!AD17)," - ")</f>
        <v>939</v>
      </c>
      <c r="F17" s="404">
        <f>IF(ISNUMBER(E17/B17),E17/B17," - ")</f>
        <v>939</v>
      </c>
      <c r="G17" s="403">
        <f>IF(ISNUMBER(IF(D_I="SI",Datos!K17,Datos!K17+Datos!AE17)),IF(D_I="SI",Datos!K17,Datos!K17+Datos!AE17)," - ")</f>
        <v>555</v>
      </c>
      <c r="H17" s="404">
        <f>IF(ISNUMBER(G17/B17),G17/B17," - ")</f>
        <v>555</v>
      </c>
      <c r="I17" s="403">
        <f>IF(ISNUMBER(IF(D_I="SI",Datos!L17,Datos!L17+Datos!AF17)),IF(D_I="SI",Datos!L17,Datos!L17+Datos!AF17)," - ")</f>
        <v>559</v>
      </c>
      <c r="J17" s="404">
        <f>IF(ISNUMBER(I17/B17),I17/B17," - ")</f>
        <v>559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4007</v>
      </c>
      <c r="D18" s="850" t="str">
        <f>IF(ISNUMBER(C18/Datos!BI18),C18/Datos!BI18," - ")</f>
        <v xml:space="preserve"> - </v>
      </c>
      <c r="E18" s="849">
        <f>SUBTOTAL(9,E14:E17)</f>
        <v>5771</v>
      </c>
      <c r="F18" s="850">
        <f>IF(ISNUMBER(E18/B18),E18/B18," - ")</f>
        <v>961.83333333333337</v>
      </c>
      <c r="G18" s="849">
        <f>SUBTOTAL(9,G14:G17)</f>
        <v>5172</v>
      </c>
      <c r="H18" s="850">
        <f>IF(ISNUMBER(G18/B18),G18/B18," - ")</f>
        <v>862</v>
      </c>
      <c r="I18" s="849">
        <f>SUBTOTAL(9,I14:I17)</f>
        <v>4678</v>
      </c>
      <c r="J18" s="850">
        <f>IF(ISNUMBER(I18/B18),I18/B18," - ")</f>
        <v>779.66666666666663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14751</v>
      </c>
      <c r="D19" s="795" t="str">
        <f>IF(ISNUMBER(C19/Datos!BI19),C19/Datos!BI19," - ")</f>
        <v xml:space="preserve"> - </v>
      </c>
      <c r="E19" s="794">
        <f>SUBTOTAL(9,E9:E18)</f>
        <v>9275</v>
      </c>
      <c r="F19" s="795">
        <f>IF(ISNUMBER(E19/B19),E19/B19," - ")</f>
        <v>662.5</v>
      </c>
      <c r="G19" s="794">
        <f>SUBTOTAL(9,G9:G18)</f>
        <v>8360</v>
      </c>
      <c r="H19" s="795">
        <f>IF(ISNUMBER(G19/B19),G19/B19," - ")</f>
        <v>597.14285714285711</v>
      </c>
      <c r="I19" s="794">
        <f>SUBTOTAL(9,I9:I18)</f>
        <v>15738</v>
      </c>
      <c r="J19" s="795">
        <f>IF(ISNUMBER(I19/B19),I19/B19," - ")</f>
        <v>1124.1428571428571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oUvrHeD1T1RUOzwCj/ICKQMY+KCpTHXWRJYP+3UDNoTZo4DGmyT4dQNXZb3u+8fiq8sWBFZ9EjN1Y/J3XDXJuQ==" saltValue="GCYZ9C99Z0FvtCw90qBRq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MARBELLA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8</v>
      </c>
      <c r="B9" s="501" t="s">
        <v>246</v>
      </c>
      <c r="C9" s="160" t="str">
        <f>Datos!A9</f>
        <v xml:space="preserve">Jdos. 1ª Instancia   </v>
      </c>
      <c r="D9" s="502"/>
      <c r="E9" s="682">
        <f>IF(ISNUMBER(Datos!AQ9),Datos!AQ9," - ")</f>
        <v>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90</v>
      </c>
      <c r="G10" s="684">
        <f>IF(ISNUMBER(Datos!I10),Datos!I10," - ")</f>
        <v>90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61</v>
      </c>
      <c r="AC10" s="683" t="str">
        <f>IF(ISNUMBER(IF(D_I="SI",DatosP!K17,DatosP!K17+DatosP!AE17)),IF(D_I="SI",DatosP!K17,DatosP!K17+DatosP!AE17)," - ")</f>
        <v xml:space="preserve"> - </v>
      </c>
      <c r="AD10" s="685"/>
      <c r="AE10" s="685"/>
      <c r="AF10" s="688">
        <f>IF(ISNUMBER(Datos!L10),Datos!L10,"-")</f>
        <v>84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9</v>
      </c>
      <c r="AN10" s="690">
        <f>IF(ISNUMBER(Datos!BW10+DatosP!BW17),Datos!BW10+DatosP!BW17," - ")</f>
        <v>0</v>
      </c>
      <c r="AO10" s="691">
        <f>IF(ISNUMBER(Datos!BX10+DatosP!BX17),Datos!BX10+DatosP!BX17," - ")</f>
        <v>0</v>
      </c>
      <c r="AP10" s="693">
        <f>IF(ISNUMBER(((Datos!L10/Datos!K10)*11)/factor_trimestre),((Datos!L10/Datos!K10)*11)/factor_trimestre," - ")</f>
        <v>4.1311475409836067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90</v>
      </c>
      <c r="G13" s="938">
        <f t="shared" si="0"/>
        <v>90</v>
      </c>
      <c r="H13" s="938">
        <f t="shared" si="0"/>
        <v>0</v>
      </c>
      <c r="I13" s="940">
        <f t="shared" si="0"/>
        <v>0</v>
      </c>
      <c r="J13" s="939">
        <f t="shared" si="0"/>
        <v>0</v>
      </c>
      <c r="K13" s="939">
        <f t="shared" si="0"/>
        <v>0</v>
      </c>
      <c r="L13" s="941">
        <f t="shared" si="0"/>
        <v>0</v>
      </c>
      <c r="M13" s="941">
        <f t="shared" si="0"/>
        <v>0</v>
      </c>
      <c r="N13" s="939">
        <f t="shared" si="0"/>
        <v>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61</v>
      </c>
      <c r="AC13" s="939">
        <f t="shared" si="1"/>
        <v>0</v>
      </c>
      <c r="AD13" s="939">
        <f t="shared" si="1"/>
        <v>0</v>
      </c>
      <c r="AE13" s="939">
        <f t="shared" si="1"/>
        <v>0</v>
      </c>
      <c r="AF13" s="939">
        <f t="shared" si="1"/>
        <v>84</v>
      </c>
      <c r="AG13" s="939">
        <f t="shared" si="1"/>
        <v>0</v>
      </c>
      <c r="AH13" s="939">
        <f t="shared" si="1"/>
        <v>0</v>
      </c>
      <c r="AI13" s="939">
        <f t="shared" si="1"/>
        <v>0</v>
      </c>
      <c r="AJ13" s="939">
        <f t="shared" si="1"/>
        <v>0</v>
      </c>
      <c r="AK13" s="939">
        <f t="shared" si="1"/>
        <v>0</v>
      </c>
      <c r="AL13" s="939">
        <f t="shared" si="1"/>
        <v>8</v>
      </c>
      <c r="AM13" s="939">
        <f t="shared" si="1"/>
        <v>9</v>
      </c>
      <c r="AN13" s="939">
        <f t="shared" si="1"/>
        <v>0</v>
      </c>
      <c r="AO13" s="939">
        <f t="shared" si="1"/>
        <v>0</v>
      </c>
      <c r="AP13" s="944">
        <f>IF(ISNUMBER(((Datos!L13/Datos!K13)*11)/factor_trimestre),((Datos!L13/Datos!K13)*11)/factor_trimestre," - ")</f>
        <v>10.689735099337749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-0.67777777777777781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2.7134570765661254</v>
      </c>
      <c r="AQ18" s="944">
        <f>IF(ISNUMBER(((Datos!M18/Datos!L18)*11)/factor_trimestre),((Datos!M18/Datos!L18)*11)/factor_trimestre," - ")</f>
        <v>0.29820436083796498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9.1185410334346503E-2</v>
      </c>
      <c r="AW18" s="946">
        <f>IF(ISNUMBER((Datos!Q18-Datos!R18)/(Datos!S18-Datos!Q18+Datos!R18)),(Datos!Q18-Datos!R18)/(Datos!S18-Datos!Q18+Datos!R18)," - ")</f>
        <v>-6.2996439331689955E-2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90</v>
      </c>
      <c r="G19" s="951">
        <f t="shared" si="4"/>
        <v>90</v>
      </c>
      <c r="H19" s="951">
        <f t="shared" si="4"/>
        <v>0</v>
      </c>
      <c r="I19" s="952">
        <f t="shared" si="4"/>
        <v>0</v>
      </c>
      <c r="J19" s="953">
        <f t="shared" si="4"/>
        <v>0</v>
      </c>
      <c r="K19" s="953">
        <f t="shared" si="4"/>
        <v>0</v>
      </c>
      <c r="L19" s="953">
        <f t="shared" si="4"/>
        <v>0</v>
      </c>
      <c r="M19" s="953">
        <f t="shared" si="4"/>
        <v>0</v>
      </c>
      <c r="N19" s="952">
        <f t="shared" si="4"/>
        <v>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61</v>
      </c>
      <c r="AC19" s="957">
        <f t="shared" si="5"/>
        <v>0</v>
      </c>
      <c r="AD19" s="957">
        <f t="shared" si="5"/>
        <v>0</v>
      </c>
      <c r="AE19" s="957">
        <f t="shared" si="5"/>
        <v>0</v>
      </c>
      <c r="AF19" s="958">
        <f t="shared" si="5"/>
        <v>84</v>
      </c>
      <c r="AG19" s="958">
        <f t="shared" si="5"/>
        <v>0</v>
      </c>
      <c r="AH19" s="958">
        <f t="shared" si="5"/>
        <v>0</v>
      </c>
      <c r="AI19" s="958">
        <f t="shared" si="5"/>
        <v>0</v>
      </c>
      <c r="AJ19" s="959">
        <f t="shared" si="5"/>
        <v>0</v>
      </c>
      <c r="AK19" s="959">
        <f t="shared" si="5"/>
        <v>0</v>
      </c>
      <c r="AL19" s="951">
        <f t="shared" si="5"/>
        <v>8</v>
      </c>
      <c r="AM19" s="951">
        <f t="shared" si="5"/>
        <v>9</v>
      </c>
      <c r="AN19" s="951">
        <f t="shared" si="5"/>
        <v>0</v>
      </c>
      <c r="AO19" s="951">
        <f t="shared" si="5"/>
        <v>0</v>
      </c>
      <c r="AP19" s="951">
        <f>IF(ISNUMBER(((Datos!L19/Datos!K19)*11)/factor_trimestre),((Datos!L19/Datos!K19)*11)/factor_trimestre," - ")</f>
        <v>5.6539306640625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-0.67777777777777781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1.2644410079141272E-2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4.2895221179054435</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35.218366420567172</v>
      </c>
      <c r="AC21" s="738">
        <f>IF(ISNUMBER(STDEV(AC8:AC18)),STDEV(AC8:AC18),"-")</f>
        <v>0</v>
      </c>
      <c r="AD21" s="741"/>
      <c r="AE21" s="741"/>
      <c r="AF21" s="741"/>
      <c r="AG21" s="741"/>
      <c r="AH21" s="741"/>
      <c r="AI21" s="741"/>
      <c r="AJ21" s="742">
        <f>IF(ISNUMBER(STDEV(AJ8:AJ18)),STDEV(AJ8:AJ18),"-")</f>
        <v>0</v>
      </c>
      <c r="AK21" s="744"/>
      <c r="AL21" s="736">
        <f>IF(ISNUMBER(STDEV(AL8:AL18)),STDEV(AL8:AL18),"-")</f>
        <v>4.6188021535170067</v>
      </c>
      <c r="AM21" s="736"/>
      <c r="AN21" s="736">
        <f>IF(ISNUMBER(STDEV(AN8:AN18)),STDEV(AN8:AN18),"-")</f>
        <v>0</v>
      </c>
      <c r="AO21" s="742">
        <f>IF(ISNUMBER(STDEV(AO8:AO18)),STDEV(AO8:AO18),"-")</f>
        <v>0</v>
      </c>
      <c r="AP21" s="779">
        <f>IF(ISNUMBER(STDEV(AP8:AP18)),STDEV(AP8:AP18),"-")</f>
        <v>4.2553089999444156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X1niDB8is3qjit8FE23Gey9CChDVPj5t8fmaSNQ6+Q76syPt3xhBYZ7pam7bcq+6AytmRAHUuHfhH9ZPm2eVqg==" saltValue="eHsAxGk2euLnZoj9vJ4hW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MARBELLA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8</v>
      </c>
      <c r="D9" s="403">
        <f>Datos!BK9</f>
        <v>0</v>
      </c>
      <c r="E9" s="403">
        <f>Datos!AQ9</f>
        <v>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4cvp1bIJjNAtwaIaG0n0UR2SMqqXeIiIG7/IzfighS1/jG1Sq/uqVDCraP8vaI+e1ni5OL4BKqYikZppEP5bzw==" saltValue="GGmpChAKyXr2tOT/xuIx/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MARBELLA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8</v>
      </c>
      <c r="C9" s="410">
        <f>Datos!AQ9</f>
        <v>8</v>
      </c>
      <c r="D9" s="403">
        <f>IF(ISNUMBER(Datos!M9),Datos!M9," - ")</f>
        <v>661</v>
      </c>
      <c r="E9" s="404">
        <f t="shared" ref="E9:E13" si="0">IF(ISNUMBER(D9/B9),D9/B9," - ")</f>
        <v>82.625</v>
      </c>
      <c r="F9" s="403">
        <f>IF(ISNUMBER(Datos!N9),Datos!N9," - ")</f>
        <v>1153</v>
      </c>
      <c r="G9" s="404">
        <f t="shared" ref="G9:G13" si="1">IF(ISNUMBER(F9/B9),F9/B9," - ")</f>
        <v>144.125</v>
      </c>
      <c r="H9" s="403">
        <f>IF(ISNUMBER(Datos!O9),Datos!O9," - ")</f>
        <v>1603</v>
      </c>
      <c r="I9" s="404">
        <f>IF(ISNUMBER(H9/B9),H9/B9," - ")</f>
        <v>200.375</v>
      </c>
      <c r="BZ9" s="1186">
        <f>Datos!EZ9</f>
        <v>0</v>
      </c>
    </row>
    <row r="10" spans="1:78">
      <c r="A10" s="402" t="str">
        <f>Datos!A10</f>
        <v>Jdos. Violencia contra la mujer</v>
      </c>
      <c r="B10" s="427">
        <f>Datos!AO10</f>
        <v>1</v>
      </c>
      <c r="C10" s="410">
        <f>Datos!AQ10</f>
        <v>1</v>
      </c>
      <c r="D10" s="403">
        <f>IF(ISNUMBER(Datos!M10),Datos!M10," - ")</f>
        <v>8</v>
      </c>
      <c r="E10" s="404">
        <f>IF(ISNUMBER(D10/B10),D10/B10," - ")</f>
        <v>8</v>
      </c>
      <c r="F10" s="403">
        <f>IF(ISNUMBER(Datos!N10),Datos!N10," - ")</f>
        <v>9</v>
      </c>
      <c r="G10" s="404">
        <f>IF(ISNUMBER(F10/B10),F10/B10," - ")</f>
        <v>9</v>
      </c>
      <c r="H10" s="403">
        <f>IF(ISNUMBER(Datos!O10),Datos!O10," - ")</f>
        <v>14</v>
      </c>
      <c r="I10" s="404">
        <f t="shared" ref="I10:I12" si="2">IF(ISNUMBER(H10/B10),H10/B10," - ")</f>
        <v>14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669</v>
      </c>
      <c r="E13" s="850">
        <f t="shared" si="0"/>
        <v>74.333333333333329</v>
      </c>
      <c r="F13" s="849">
        <f>SUBTOTAL(9,F9:F12)</f>
        <v>1162</v>
      </c>
      <c r="G13" s="850">
        <f t="shared" si="1"/>
        <v>129.11111111111111</v>
      </c>
      <c r="H13" s="849">
        <f>SUBTOTAL(9,H9:H12)</f>
        <v>1617</v>
      </c>
      <c r="I13" s="850">
        <f>IF(ISNUMBER(H13/B13),H13/B13," - ")</f>
        <v>179.66666666666666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419</v>
      </c>
      <c r="E15" s="404">
        <f t="shared" ref="E15:E18" si="3">IF(ISNUMBER(D15/B15),D15/B15," - ")</f>
        <v>83.8</v>
      </c>
      <c r="F15" s="403">
        <f>IF(ISNUMBER(Datos!N15),Datos!N15," - ")</f>
        <v>3296</v>
      </c>
      <c r="G15" s="404">
        <f t="shared" ref="G15:G18" si="4">IF(ISNUMBER(F15/B15),F15/B15," - ")</f>
        <v>659.2</v>
      </c>
      <c r="H15" s="403">
        <f>IF(ISNUMBER(Datos!O15),Datos!O15," - ")</f>
        <v>54</v>
      </c>
      <c r="I15" s="404">
        <f t="shared" ref="I15:I17" si="5">IF(ISNUMBER(H15/B15),H15/B15," - ")</f>
        <v>10.8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46</v>
      </c>
      <c r="E17" s="404">
        <f>IF(ISNUMBER(D17/B17),D17/B17," - ")</f>
        <v>46</v>
      </c>
      <c r="F17" s="403">
        <f>IF(ISNUMBER(Datos!N17),Datos!N17," - ")</f>
        <v>239</v>
      </c>
      <c r="G17" s="404">
        <f>IF(ISNUMBER(F17/B17),F17/B17," - ")</f>
        <v>239</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465</v>
      </c>
      <c r="E18" s="850">
        <f t="shared" si="3"/>
        <v>77.5</v>
      </c>
      <c r="F18" s="849">
        <f>SUBTOTAL(9,F15:F17)</f>
        <v>3535</v>
      </c>
      <c r="G18" s="850">
        <f t="shared" si="4"/>
        <v>589.16666666666663</v>
      </c>
      <c r="H18" s="849">
        <f>SUBTOTAL(9,H15:H17)</f>
        <v>54</v>
      </c>
      <c r="I18" s="850">
        <f>IF(ISNUMBER(H18/B18),H18/B18," - ")</f>
        <v>9</v>
      </c>
      <c r="BZ18" s="1186"/>
    </row>
    <row r="19" spans="1:78" ht="14.25" thickTop="1" thickBot="1">
      <c r="A19" s="793" t="str">
        <f>Datos!A19</f>
        <v>TOTAL JURISDICCIONES</v>
      </c>
      <c r="B19" s="794">
        <f>Datos!AP19</f>
        <v>14</v>
      </c>
      <c r="C19" s="794">
        <f>Datos!AR19</f>
        <v>14</v>
      </c>
      <c r="D19" s="794">
        <f>SUBTOTAL(9,D8:D18)</f>
        <v>1134</v>
      </c>
      <c r="E19" s="795">
        <f>IF(ISNUMBER(D19/B19),D19/B19," - ")</f>
        <v>81</v>
      </c>
      <c r="F19" s="794">
        <f>SUBTOTAL(9,F8:F18)</f>
        <v>4697</v>
      </c>
      <c r="G19" s="795">
        <f>IF(ISNUMBER(F19/B19),F19/B19," - ")</f>
        <v>335.5</v>
      </c>
      <c r="H19" s="794">
        <f>SUBTOTAL(9,H8:H18)</f>
        <v>1671</v>
      </c>
      <c r="I19" s="795">
        <f>IF(ISNUMBER(H19/B19),H19/B19," - ")</f>
        <v>119.35714285714286</v>
      </c>
    </row>
    <row r="22" spans="1:78">
      <c r="A22" s="391" t="str">
        <f>Criterios!A4</f>
        <v>Fecha Informe: 24 sep. 2024</v>
      </c>
    </row>
    <row r="27" spans="1:78">
      <c r="A27" s="414"/>
    </row>
  </sheetData>
  <sheetProtection algorithmName="SHA-512" hashValue="oBFmgcthyo+QqbaQC8bBFBX0Nxiv/vKEiLERSNLMGiTvVyQR7mfLhSYDSDburZuWLq7zHG/5HxfTK57r73Fv0Q==" saltValue="K58WBzVkNS2qgzRow7G+K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MARBELLA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719</v>
      </c>
      <c r="C9" s="434">
        <f>IF(ISNUMBER(Datos!Q9),Datos!Q9," - ")</f>
        <v>619</v>
      </c>
      <c r="D9" s="408">
        <f>IF(ISNUMBER(Datos!R9),Datos!R9," - ")</f>
        <v>10727</v>
      </c>
    </row>
    <row r="10" spans="1:4">
      <c r="A10" s="402" t="str">
        <f>Datos!A10</f>
        <v>Jdos. Violencia contra la mujer</v>
      </c>
      <c r="B10" s="433">
        <f>IF(ISNUMBER(Datos!P10),Datos!P10," - ")</f>
        <v>9</v>
      </c>
      <c r="C10" s="434">
        <f>IF(ISNUMBER(Datos!Q10),Datos!Q10," - ")</f>
        <v>0</v>
      </c>
      <c r="D10" s="408">
        <f>IF(ISNUMBER(Datos!R10),Datos!R10," - ")</f>
        <v>46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728</v>
      </c>
      <c r="C13" s="853">
        <f>SUBTOTAL(9,C9:C12)</f>
        <v>619</v>
      </c>
      <c r="D13" s="851">
        <f>SUBTOTAL(9,D9:D12)</f>
        <v>10773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97</v>
      </c>
      <c r="C15" s="434">
        <f>IF(ISNUMBER(Datos!Q15),Datos!Q15," - ")</f>
        <v>111</v>
      </c>
      <c r="D15" s="408">
        <f>IF(ISNUMBER(Datos!R15),Datos!R15," - ")</f>
        <v>311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62</v>
      </c>
      <c r="C17" s="434">
        <f>IF(ISNUMBER(Datos!Q17),Datos!Q17," - ")</f>
        <v>18</v>
      </c>
      <c r="D17" s="408">
        <f>IF(ISNUMBER(Datos!R17),Datos!R17," - ")</f>
        <v>48</v>
      </c>
    </row>
    <row r="18" spans="1:4" ht="14.25" thickTop="1" thickBot="1">
      <c r="A18" s="848" t="str">
        <f>Datos!A18</f>
        <v>TOTAL</v>
      </c>
      <c r="B18" s="849">
        <f>SUBTOTAL(9,B15:B17)</f>
        <v>159</v>
      </c>
      <c r="C18" s="853">
        <f>SUBTOTAL(9,C15:C17)</f>
        <v>129</v>
      </c>
      <c r="D18" s="851">
        <f>SUBTOTAL(9,D15:D17)</f>
        <v>359</v>
      </c>
    </row>
    <row r="19" spans="1:4" ht="16.5" customHeight="1" thickTop="1" thickBot="1">
      <c r="A19" s="793" t="str">
        <f>Datos!A19</f>
        <v>TOTAL JURISDICCIONES</v>
      </c>
      <c r="B19" s="798">
        <f>SUBTOTAL(9,B8:B18)</f>
        <v>887</v>
      </c>
      <c r="C19" s="799">
        <f>SUBTOTAL(9,C8:C18)</f>
        <v>748</v>
      </c>
      <c r="D19" s="800">
        <f>SUBTOTAL(9,D8:D18)</f>
        <v>11132</v>
      </c>
    </row>
    <row r="20" spans="1:4" ht="7.5" customHeight="1"/>
    <row r="21" spans="1:4" ht="6" customHeight="1"/>
    <row r="22" spans="1:4">
      <c r="A22" s="391" t="str">
        <f>Criterios!A4</f>
        <v>Fecha Informe: 24 sep. 2024</v>
      </c>
    </row>
    <row r="27" spans="1:4">
      <c r="A27" s="414"/>
    </row>
  </sheetData>
  <sheetProtection algorithmName="SHA-512" hashValue="18EsFStDkLo3xKuBWjwqpTJAn2xKTc+WsV7cyvcTY0+Tf+EImqO5o6/lXkR6oFyCJ8F1nQZCzOhufrnZR4/YTA==" saltValue="VDu7zEDW/kQIIguY7o9nj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MARBELLA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0.15153480328577604</v>
      </c>
      <c r="C9" s="456">
        <f>IF(ISNUMBER(
   IF(J_V="SI",(Datos!J9-Datos!T9)/Datos!T9,(Datos!J9+Datos!Z9-(Datos!T9+Datos!AH9))/(Datos!T9+Datos!AH9))
     ),IF(J_V="SI",(Datos!J9-Datos!T9)/Datos!T9,(Datos!J9+Datos!Z9-(Datos!T9+Datos!AH9))/(Datos!T9+Datos!AH9))," - ")</f>
        <v>0.17592908285032391</v>
      </c>
      <c r="D9" s="456">
        <f>IF(ISNUMBER(
   IF(J_V="SI",(Datos!K9-Datos!U9)/Datos!U9,(Datos!K9+Datos!AA9-(Datos!U9+Datos!AI9))/(Datos!U9+Datos!AI9))
     ),IF(J_V="SI",(Datos!K9-Datos!U9)/Datos!U9,(Datos!K9+Datos!AA9-(Datos!U9+Datos!AI9))/(Datos!U9+Datos!AI9))," - ")</f>
        <v>0.42136363636363638</v>
      </c>
      <c r="E9" s="456">
        <f>IF(ISNUMBER(
   IF(J_V="SI",(Datos!L9-Datos!V9)/Datos!V9,(Datos!L9+Datos!AB9-(Datos!V9+Datos!AJ9))/(Datos!V9+Datos!AJ9))
     ),IF(J_V="SI",(Datos!L9-Datos!V9)/Datos!V9,(Datos!L9+Datos!AB9-(Datos!V9+Datos!AJ9))/(Datos!V9+Datos!AJ9))," - ")</f>
        <v>9.770977097709771E-2</v>
      </c>
      <c r="F9" s="456">
        <f>IF(ISNUMBER((Datos!M9-Datos!W9)/Datos!W9),(Datos!M9-Datos!W9)/Datos!W9," - ")</f>
        <v>0.30118110236220474</v>
      </c>
      <c r="G9" s="457">
        <f>IF(ISNUMBER((Datos!N9-Datos!X9)/Datos!X9),(Datos!N9-Datos!X9)/Datos!X9," - ")</f>
        <v>0.64479315263908699</v>
      </c>
      <c r="H9" s="455">
        <f>IF(ISNUMBER(((NºAsuntos!G9/NºAsuntos!E9)-Datos!BD9)/Datos!BD9),((NºAsuntos!G9/NºAsuntos!E9)-Datos!BD9)/Datos!BD9," - ")</f>
        <v>0.2087154379398509</v>
      </c>
      <c r="I9" s="456">
        <f>IF(ISNUMBER(((NºAsuntos!I9/NºAsuntos!G9)-Datos!BE9)/Datos!BE9),((NºAsuntos!I9/NºAsuntos!G9)-Datos!BE9)/Datos!BE9," - ")</f>
        <v>-0.2277065890151535</v>
      </c>
      <c r="J9" s="461">
        <f>IF(ISNUMBER((('Resol  Asuntos'!D9/NºAsuntos!G9)-Datos!BF9)/Datos!BF9),(('Resol  Asuntos'!D9/NºAsuntos!G9)-Datos!BF9)/Datos!BF9," - ")</f>
        <v>-0.3365957627346744</v>
      </c>
      <c r="K9" s="462">
        <f>IF(ISNUMBER((((NºAsuntos!C9+NºAsuntos!E9)/NºAsuntos!G9)-Datos!BG9)/Datos!BG9),(((NºAsuntos!C9+NºAsuntos!E9)/NºAsuntos!G9)-Datos!BG9)/Datos!BG9," - ")</f>
        <v>-0.18570686775236114</v>
      </c>
    </row>
    <row r="10" spans="1:11">
      <c r="A10" s="402" t="str">
        <f>Datos!A10</f>
        <v>Jdos. Violencia contra la mujer</v>
      </c>
      <c r="B10" s="455">
        <f>IF(ISNUMBER((Datos!I10-Datos!S10)/Datos!S10),(Datos!I10-Datos!S10)/Datos!S10," - ")</f>
        <v>0.15384615384615385</v>
      </c>
      <c r="C10" s="456">
        <f>IF(ISNUMBER((Datos!J10-Datos!T10)/Datos!T10),(Datos!J10-Datos!T10)/Datos!T10," - ")</f>
        <v>0.25</v>
      </c>
      <c r="D10" s="456">
        <f>IF(ISNUMBER((Datos!K10-Datos!U10)/Datos!U10),(Datos!K10-Datos!U10)/Datos!U10," - ")</f>
        <v>0.38636363636363635</v>
      </c>
      <c r="E10" s="456">
        <f>IF(ISNUMBER((Datos!L10-Datos!V10)/Datos!V10),(Datos!L10-Datos!V10)/Datos!V10," - ")</f>
        <v>7.6923076923076927E-2</v>
      </c>
      <c r="F10" s="456">
        <f>IF(ISNUMBER((Datos!M10-Datos!W10)/Datos!W10),(Datos!M10-Datos!W10)/Datos!W10," - ")</f>
        <v>-0.46666666666666667</v>
      </c>
      <c r="G10" s="457">
        <f>IF(ISNUMBER((Datos!N10-Datos!X10)/Datos!X10),(Datos!N10-Datos!X10)/Datos!X10," - ")</f>
        <v>-0.60869565217391308</v>
      </c>
      <c r="H10" s="455">
        <f>IF(ISNUMBER(((NºAsuntos!G10/NºAsuntos!E10)-Datos!BD10)/Datos!BD10),((NºAsuntos!G10/NºAsuntos!E10)-Datos!BD10)/Datos!BD10," - ")</f>
        <v>0.10909090909090913</v>
      </c>
      <c r="I10" s="456">
        <f>IF(ISNUMBER(((NºAsuntos!I10/NºAsuntos!G10)-Datos!BE10)/Datos!BE10),((NºAsuntos!I10/NºAsuntos!G10)-Datos!BE10)/Datos!BE10," - ")</f>
        <v>-0.223203026481715</v>
      </c>
      <c r="J10" s="461">
        <f>IF(ISNUMBER((('Resol  Asuntos'!D10/NºAsuntos!G10)-Datos!BF10)/Datos!BF10),(('Resol  Asuntos'!D10/NºAsuntos!G10)-Datos!BF10)/Datos!BF10," - ")</f>
        <v>-0.6153005464480874</v>
      </c>
      <c r="K10" s="462">
        <f>IF(ISNUMBER((((NºAsuntos!C10+NºAsuntos!E10)/NºAsuntos!G10)-Datos!BG10)/Datos!BG10),(((NºAsuntos!C10+NºAsuntos!E10)/NºAsuntos!G10)-Datos!BG10)/Datos!BG10," - ")</f>
        <v>-0.14270357430798172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0.15155412647374061</v>
      </c>
      <c r="C13" s="855">
        <f>IF(ISNUMBER(
   IF(J_V="SI",(Datos!J13-Datos!T13)/Datos!T13,(Datos!J13+Datos!Z13-(Datos!T13+Datos!AH13))/(Datos!T13+Datos!AH13))
     ),IF(J_V="SI",(Datos!J13-Datos!T13)/Datos!T13,(Datos!J13+Datos!Z13-(Datos!T13+Datos!AH13))/(Datos!T13+Datos!AH13))," - ")</f>
        <v>0.17702384951293249</v>
      </c>
      <c r="D13" s="855">
        <f>IF(ISNUMBER(
   IF(J_V="SI",(Datos!K13-Datos!U13)/Datos!U13,(Datos!K13+Datos!AA13-(Datos!U13+Datos!AI13))/(Datos!U13+Datos!AI13))
     ),IF(J_V="SI",(Datos!K13-Datos!U13)/Datos!U13,(Datos!K13+Datos!AA13-(Datos!U13+Datos!AI13))/(Datos!U13+Datos!AI13))," - ")</f>
        <v>0.42067736185383242</v>
      </c>
      <c r="E13" s="855">
        <f>IF(ISNUMBER(
   IF(J_V="SI",(Datos!L13-Datos!V13)/Datos!V13,(Datos!L13+Datos!AB13-(Datos!V13+Datos!AJ13))/(Datos!V13+Datos!AJ13))
     ),IF(J_V="SI",(Datos!L13-Datos!V13)/Datos!V13,(Datos!L13+Datos!AB13-(Datos!V13+Datos!AJ13))/(Datos!V13+Datos!AJ13))," - ")</f>
        <v>9.7548873672720054E-2</v>
      </c>
      <c r="F13" s="856">
        <f>IF(ISNUMBER((Datos!M13-Datos!W13)/Datos!W13),(Datos!M13-Datos!W13)/Datos!W13," - ")</f>
        <v>0.27915869980879543</v>
      </c>
      <c r="G13" s="857">
        <f>IF(ISNUMBER((Datos!N13-Datos!X13)/Datos!X13),(Datos!N13-Datos!X13)/Datos!X13," - ")</f>
        <v>0.60497237569060769</v>
      </c>
      <c r="H13" s="857">
        <f>IF(ISNUMBER(((NºAsuntos!G13/NºAsuntos!E13)-Datos!BD13)/Datos!BD13),((NºAsuntos!G13/NºAsuntos!E13)-Datos!BD13)/Datos!BD13," - ")</f>
        <v>0.20700813534214027</v>
      </c>
      <c r="I13" s="857">
        <f>IF(ISNUMBER(((NºAsuntos!I13/NºAsuntos!G13)-Datos!BE13)/Datos!BE13),((NºAsuntos!I13/NºAsuntos!G13)-Datos!BE13)/Datos!BE13," - ")</f>
        <v>-0.22744677775358094</v>
      </c>
      <c r="J13" s="857">
        <f>IF(ISNUMBER((('Resol  Asuntos'!D13/NºAsuntos!G13)-Datos!BF13)/Datos!BF13),(('Resol  Asuntos'!D13/NºAsuntos!G13)-Datos!BF13)/Datos!BF13," - ")</f>
        <v>-0.34231545670566299</v>
      </c>
      <c r="K13" s="857">
        <f>IF(ISNUMBER((((NºAsuntos!C13+NºAsuntos!E13)/NºAsuntos!G13)-Datos!BG13)/Datos!BG13),(((NºAsuntos!C13+NºAsuntos!E13)/NºAsuntos!G13)-Datos!BG13)/Datos!BG13," - ")</f>
        <v>-0.18509638249962093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0.15665559915484456</v>
      </c>
      <c r="C15" s="456">
        <f>IF(ISNUMBER(
   IF(D_I="SI",(Datos!J15-Datos!T15)/Datos!T15,(Datos!J15+Datos!AD15-(Datos!T15+Datos!AL15))/(Datos!T15+Datos!AL15))
     ),IF(D_I="SI",(Datos!J15-Datos!T15)/Datos!T15,(Datos!J15+Datos!AD15-(Datos!T15+Datos!AL15))/(Datos!T15+Datos!AL15))," - ")</f>
        <v>9.7433568021803321E-2</v>
      </c>
      <c r="D15" s="456">
        <f>IF(ISNUMBER(
   IF(D_I="SI",(Datos!K15-Datos!U15)/Datos!U15,(Datos!K15+Datos!AE15-(Datos!U15+Datos!AM15))/(Datos!U15+Datos!AM15))
     ),IF(D_I="SI",(Datos!K15-Datos!U15)/Datos!U15,(Datos!K15+Datos!AE15-(Datos!U15+Datos!AM15))/(Datos!U15+Datos!AM15))," - ")</f>
        <v>0.18142272262026612</v>
      </c>
      <c r="E15" s="456">
        <f>IF(ISNUMBER(
   IF(D_I="SI",(Datos!L15-Datos!V15)/Datos!V15,(Datos!L15+Datos!AF15-(Datos!V15+Datos!AN15))/(Datos!V15+Datos!AN15))
     ),IF(D_I="SI",(Datos!L15-Datos!V15)/Datos!V15,(Datos!L15+Datos!AF15-(Datos!V15+Datos!AN15))/(Datos!V15+Datos!AN15))," - ")</f>
        <v>5.5342044581091467E-2</v>
      </c>
      <c r="F15" s="456">
        <f>IF(ISNUMBER((Datos!M15-Datos!W15)/Datos!W15),(Datos!M15-Datos!W15)/Datos!W15," - ")</f>
        <v>2.6960784313725492E-2</v>
      </c>
      <c r="G15" s="457">
        <f>IF(ISNUMBER((Datos!N15-Datos!X15)/Datos!X15),(Datos!N15-Datos!X15)/Datos!X15," - ")</f>
        <v>0.23816679188580014</v>
      </c>
      <c r="H15" s="455">
        <f>IF(ISNUMBER(((NºAsuntos!G15/NºAsuntos!E15)-Datos!BD15)/Datos!BD15),((NºAsuntos!G15/NºAsuntos!E15)-Datos!BD15)/Datos!BD15," - ")</f>
        <v>7.653233603001483E-2</v>
      </c>
      <c r="I15" s="456">
        <f>IF(ISNUMBER(((NºAsuntos!I15/NºAsuntos!G15)-Datos!BE15)/Datos!BE15),((NºAsuntos!I15/NºAsuntos!G15)-Datos!BE15)/Datos!BE15," - ")</f>
        <v>-0.10671936100868412</v>
      </c>
      <c r="J15" s="461">
        <f>IF(ISNUMBER((('Resol  Asuntos'!D15/NºAsuntos!G15)-Datos!BF15)/Datos!BF15),(('Resol  Asuntos'!D15/NºAsuntos!G15)-Datos!BF15)/Datos!BF15," - ")</f>
        <v>-0.13074231208619466</v>
      </c>
      <c r="K15" s="462">
        <f>IF(ISNUMBER((((NºAsuntos!C15+NºAsuntos!E15)/NºAsuntos!G15)-Datos!BG15)/Datos!BG15),(((NºAsuntos!C15+NºAsuntos!E15)/NºAsuntos!G15)-Datos!BG15)/Datos!BG15," - ")</f>
        <v>-4.9568317237230389E-2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0.62037037037037035</v>
      </c>
      <c r="C17" s="456">
        <f>IF(ISNUMBER(
   IF(D_I="SI",(Datos!J17-Datos!T17)/Datos!T17,(Datos!J17+Datos!AD17-(Datos!T17+Datos!AL17))/(Datos!T17+Datos!AL17))
     ),IF(D_I="SI",(Datos!J17-Datos!T17)/Datos!T17,(Datos!J17+Datos!AD17-(Datos!T17+Datos!AL17))/(Datos!T17+Datos!AL17))," - ")</f>
        <v>2.0096153846153846</v>
      </c>
      <c r="D17" s="456">
        <f>IF(ISNUMBER(
   IF(D_I="SI",(Datos!K17-Datos!U17)/Datos!U17,(Datos!K17+Datos!AE17-(Datos!U17+Datos!AM17))/(Datos!U17+Datos!AM17))
     ),IF(D_I="SI",(Datos!K17-Datos!U17)/Datos!U17,(Datos!K17+Datos!AE17-(Datos!U17+Datos!AM17))/(Datos!U17+Datos!AM17))," - ")</f>
        <v>0.65671641791044777</v>
      </c>
      <c r="E17" s="456">
        <f>IF(ISNUMBER(
   IF(D_I="SI",(Datos!L17-Datos!V17)/Datos!V17,(Datos!L17+Datos!AF17-(Datos!V17+Datos!AN17))/(Datos!V17+Datos!AN17))
     ),IF(D_I="SI",(Datos!L17-Datos!V17)/Datos!V17,(Datos!L17+Datos!AF17-(Datos!V17+Datos!AN17))/(Datos!V17+Datos!AN17))," - ")</f>
        <v>4.9468085106382977</v>
      </c>
      <c r="F17" s="456">
        <f>IF(ISNUMBER((Datos!M17-Datos!W17)/Datos!W17),(Datos!M17-Datos!W17)/Datos!W17," - ")</f>
        <v>0.35294117647058826</v>
      </c>
      <c r="G17" s="457">
        <f>IF(ISNUMBER((Datos!N17-Datos!X17)/Datos!X17),(Datos!N17-Datos!X17)/Datos!X17," - ")</f>
        <v>0.67132867132867136</v>
      </c>
      <c r="H17" s="455">
        <f>IF(ISNUMBER(((NºAsuntos!G17/NºAsuntos!E17)-Datos!BD17)/Datos!BD17),((NºAsuntos!G17/NºAsuntos!E17)-Datos!BD17)/Datos!BD17," - ")</f>
        <v>-0.44952553526298217</v>
      </c>
      <c r="I17" s="456">
        <f>IF(ISNUMBER(((NºAsuntos!I17/NºAsuntos!G17)-Datos!BE17)/Datos!BE17),((NºAsuntos!I17/NºAsuntos!G17)-Datos!BE17)/Datos!BE17," - ")</f>
        <v>2.5895150469618549</v>
      </c>
      <c r="J17" s="461">
        <f>IF(ISNUMBER((('Resol  Asuntos'!D17/NºAsuntos!G17)-Datos!BF17)/Datos!BF17),(('Resol  Asuntos'!D17/NºAsuntos!G17)-Datos!BF17)/Datos!BF17," - ")</f>
        <v>-0.18335983041865389</v>
      </c>
      <c r="K17" s="462">
        <f>IF(ISNUMBER((((NºAsuntos!C17+NºAsuntos!E17)/NºAsuntos!G17)-Datos!BG17)/Datos!BG17),(((NºAsuntos!C17+NºAsuntos!E17)/NºAsuntos!G17)-Datos!BG17)/Datos!BG17," - ")</f>
        <v>0.60098670098670082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0.17129494299912307</v>
      </c>
      <c r="C18" s="855">
        <f>IF(ISNUMBER(
   IF(Criterios!B14="SI",(Datos!J18-Datos!T18)/Datos!T18,(Datos!J18+Datos!AD18-(Datos!T18+Datos!AL18))/(Datos!T18+Datos!AL18))
     ),IF(Criterios!B14="SI",(Datos!J18-Datos!T18)/Datos!T18,(Datos!J18+Datos!AD18-(Datos!T18+Datos!AL18))/(Datos!T18+Datos!AL18))," - ")</f>
        <v>0.22396606574761399</v>
      </c>
      <c r="D18" s="855">
        <f>IF(ISNUMBER(
   IF(Criterios!B14="SI",(Datos!K18-Datos!U18)/Datos!U18,(Datos!K18+Datos!AE18-(Datos!U18+Datos!AM18))/(Datos!U18+Datos!AM18))
     ),IF(Criterios!B14="SI",(Datos!K18-Datos!U18)/Datos!U18,(Datos!K18+Datos!AE18-(Datos!U18+Datos!AM18))/(Datos!U18+Datos!AM18))," - ")</f>
        <v>0.21894885694084373</v>
      </c>
      <c r="E18" s="855">
        <f>IF(ISNUMBER(
   IF(Criterios!B14="SI",(Datos!L18-Datos!V18)/Datos!V18,(Datos!L18+Datos!AF18-(Datos!V18+Datos!AN18))/(Datos!V18+Datos!AN18))
     ),IF(Criterios!B14="SI",(Datos!L18-Datos!V18)/Datos!V18,(Datos!L18+Datos!AF18-(Datos!V18+Datos!AN18))/(Datos!V18+Datos!AN18))," - ")</f>
        <v>0.17037778333750311</v>
      </c>
      <c r="F18" s="856">
        <f>IF(ISNUMBER((Datos!M18-Datos!W18)/Datos!W18),(Datos!M18-Datos!W18)/Datos!W18," - ")</f>
        <v>5.2036199095022627E-2</v>
      </c>
      <c r="G18" s="857">
        <f>IF(ISNUMBER((Datos!N18-Datos!X18)/Datos!X18),(Datos!N18-Datos!X18)/Datos!X18," - ")</f>
        <v>0.26024955436720143</v>
      </c>
      <c r="H18" s="857">
        <f>IF(ISNUMBER(((NºAsuntos!G18/NºAsuntos!E18)-Datos!BD18)/Datos!BD18),((NºAsuntos!G18/NºAsuntos!E18)-Datos!BD18)/Datos!BD18," - ")</f>
        <v>-4.0991404477423747E-3</v>
      </c>
      <c r="I18" s="857">
        <f>IF(ISNUMBER(((NºAsuntos!I18/NºAsuntos!G18)-Datos!BE18)/Datos!BE18),((NºAsuntos!I18/NºAsuntos!G18)-Datos!BE18)/Datos!BE18," - ")</f>
        <v>-3.9846687026097088E-2</v>
      </c>
      <c r="J18" s="857">
        <f>IF(ISNUMBER((('Resol  Asuntos'!D18/NºAsuntos!G18)-Datos!BF18)/Datos!BF18),(('Resol  Asuntos'!D18/NºAsuntos!G18)-Datos!BF18)/Datos!BF18," - ")</f>
        <v>-0.13693163326369273</v>
      </c>
      <c r="K18" s="857">
        <f>IF(ISNUMBER((((NºAsuntos!C18+NºAsuntos!E18)/NºAsuntos!G18)-Datos!BG18)/Datos!BG18),(((NºAsuntos!C18+NºAsuntos!E18)/NºAsuntos!G18)-Datos!BG18)/Datos!BG18," - ")</f>
        <v>-1.405291217135457E-2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0.15685044310250176</v>
      </c>
      <c r="C19" s="802">
        <f>IF(ISNUMBER(
   IF(J_V="SI",(Datos!J19-Datos!T19)/Datos!T19,(Datos!J19+Datos!Z19-(Datos!T19+Datos!AH19))/(Datos!T19+Datos!AH19))
     ),IF(J_V="SI",(Datos!J19-Datos!T19)/Datos!T19,(Datos!J19+Datos!Z19-(Datos!T19+Datos!AH19))/(Datos!T19+Datos!AH19))," - ")</f>
        <v>0.20579823192927718</v>
      </c>
      <c r="D19" s="802">
        <f>IF(ISNUMBER(
   IF(J_V="SI",(Datos!K19-Datos!U19)/Datos!U19,(Datos!K19+Datos!AA19-(Datos!U19+Datos!AI19))/(Datos!U19+Datos!AI19))
     ),IF(J_V="SI",(Datos!K19-Datos!U19)/Datos!U19,(Datos!K19+Datos!AA19-(Datos!U19+Datos!AI19))/(Datos!U19+Datos!AI19))," - ")</f>
        <v>0.28873130877138892</v>
      </c>
      <c r="E19" s="802">
        <f>IF(ISNUMBER(
   IF(J_V="SI",(Datos!L19-Datos!V19)/Datos!V19,(Datos!L19+Datos!AB19-(Datos!V19+Datos!AJ19))/(Datos!V19+Datos!AJ19))
     ),IF(J_V="SI",(Datos!L19-Datos!V19)/Datos!V19,(Datos!L19+Datos!AB19-(Datos!V19+Datos!AJ19))/(Datos!V19+Datos!AJ19))," - ")</f>
        <v>0.1182322012221117</v>
      </c>
      <c r="F19" s="803">
        <f>IF(ISNUMBER((Datos!M19-Datos!W19)/Datos!W19),(Datos!M19-Datos!W19)/Datos!W19," - ")</f>
        <v>0.17512953367875647</v>
      </c>
      <c r="G19" s="804">
        <f>IF(ISNUMBER((Datos!N19-Datos!X19)/Datos!X19),(Datos!N19-Datos!X19)/Datos!X19," - ")</f>
        <v>0.33097194672711816</v>
      </c>
      <c r="H19" s="805">
        <f>IF(ISNUMBER((Tasas!B19-Datos!BD19)/Datos!BD19),(Tasas!B19-Datos!BD19)/Datos!BD19," - ")</f>
        <v>6.8778568956282815E-2</v>
      </c>
      <c r="I19" s="806">
        <f>IF(ISNUMBER((Tasas!C19-Datos!BE19)/Datos!BE19),(Tasas!C19-Datos!BE19)/Datos!BE19," - ")</f>
        <v>-0.13229996539140687</v>
      </c>
      <c r="J19" s="807">
        <f>IF(ISNUMBER((Tasas!D19-Datos!BF19)/Datos!BF19),(Tasas!D19-Datos!BF19)/Datos!BF19," - ")</f>
        <v>-0.24012507127451216</v>
      </c>
      <c r="K19" s="807">
        <f>IF(ISNUMBER((Tasas!E19-Datos!BG19)/Datos!BG19),(Tasas!E19-Datos!BG19)/Datos!BG19," - ")</f>
        <v>-8.8042782979024181E-2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vAxEnTFjc6eH3lFeM9JGJH7dbXLaySwmFDYD3HSUKg+k5cnbFZ5p4839D2XzRGHc555Tpm9e8PicSJf2CiHTA==" saltValue="6XWpcRwQGjhbx2ENyxVGn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MARBELLA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0.90663960568280666</v>
      </c>
      <c r="C9" s="443">
        <f>IF(ISNUMBER(NºAsuntos!I9/NºAsuntos!G9),NºAsuntos!I9/NºAsuntos!G9," - ")</f>
        <v>3.5100735529261273</v>
      </c>
      <c r="D9" s="444">
        <f>IF(ISNUMBER('Resol  Asuntos'!D9/NºAsuntos!G9),'Resol  Asuntos'!D9/NºAsuntos!G9," - ")</f>
        <v>0.21138471378317877</v>
      </c>
      <c r="E9" s="445">
        <f>IF(ISNUMBER((NºAsuntos!C9+NºAsuntos!E9)/NºAsuntos!G9),(NºAsuntos!C9+NºAsuntos!E9)/NºAsuntos!G9," - ")</f>
        <v>4.5100735529261273</v>
      </c>
      <c r="G9" s="463"/>
    </row>
    <row r="10" spans="1:7">
      <c r="A10" s="402" t="str">
        <f>Datos!A10</f>
        <v>Jdos. Violencia contra la mujer</v>
      </c>
      <c r="B10" s="442">
        <f>IF(ISNUMBER(NºAsuntos!G10/NºAsuntos!E10),NºAsuntos!G10/NºAsuntos!E10," - ")</f>
        <v>1.1090909090909091</v>
      </c>
      <c r="C10" s="443">
        <f>IF(ISNUMBER(NºAsuntos!I10/NºAsuntos!G10),NºAsuntos!I10/NºAsuntos!G10," - ")</f>
        <v>1.3770491803278688</v>
      </c>
      <c r="D10" s="444">
        <f>IF(ISNUMBER('Resol  Asuntos'!D10/NºAsuntos!G10),'Resol  Asuntos'!D10/NºAsuntos!G10," - ")</f>
        <v>0.13114754098360656</v>
      </c>
      <c r="E10" s="445">
        <f>IF(ISNUMBER((NºAsuntos!C10+NºAsuntos!E10)/NºAsuntos!G10),(NºAsuntos!C10+NºAsuntos!E10)/NºAsuntos!G10," - ")</f>
        <v>2.377049180327869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0.90981735159817356</v>
      </c>
      <c r="C13" s="859">
        <f>IF(ISNUMBER(NºAsuntos!I13/NºAsuntos!G13),NºAsuntos!I13/NºAsuntos!G13," - ")</f>
        <v>3.4692597239648681</v>
      </c>
      <c r="D13" s="860">
        <f>IF(ISNUMBER('Resol  Asuntos'!D13/NºAsuntos!G13),'Resol  Asuntos'!D13/NºAsuntos!G13," - ")</f>
        <v>0.20984943538268508</v>
      </c>
      <c r="E13" s="861">
        <f>IF(ISNUMBER((NºAsuntos!C13+NºAsuntos!E13)/NºAsuntos!G13),(NºAsuntos!C13+NºAsuntos!E13)/NºAsuntos!G13," - ")</f>
        <v>4.4692597239648686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0.95550496688741726</v>
      </c>
      <c r="C15" s="443">
        <f>IF(ISNUMBER(NºAsuntos!I15/NºAsuntos!G15),NºAsuntos!I15/NºAsuntos!G15," - ")</f>
        <v>0.8921377517868746</v>
      </c>
      <c r="D15" s="444">
        <f>IF(ISNUMBER('Resol  Asuntos'!D15/NºAsuntos!G15),'Resol  Asuntos'!D15/NºAsuntos!G15," - ")</f>
        <v>9.0751570283734026E-2</v>
      </c>
      <c r="E15" s="445">
        <f>IF(ISNUMBER((NºAsuntos!C15+NºAsuntos!E15)/NºAsuntos!G15),(NºAsuntos!C15+NºAsuntos!E15)/NºAsuntos!G15," - ")</f>
        <v>1.8765432098765431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0.59105431309904155</v>
      </c>
      <c r="C17" s="443">
        <f>IF(ISNUMBER(NºAsuntos!I17/NºAsuntos!G17),NºAsuntos!I17/NºAsuntos!G17," - ")</f>
        <v>1.0072072072072071</v>
      </c>
      <c r="D17" s="444">
        <f>IF(ISNUMBER('Resol  Asuntos'!D17/NºAsuntos!G17),'Resol  Asuntos'!D17/NºAsuntos!G17," - ")</f>
        <v>8.2882882882882883E-2</v>
      </c>
      <c r="E17" s="445">
        <f>IF(ISNUMBER((NºAsuntos!C17+NºAsuntos!E17)/NºAsuntos!G17),(NºAsuntos!C17+NºAsuntos!E17)/NºAsuntos!G17," - ")</f>
        <v>2.0072072072072071</v>
      </c>
      <c r="G17" s="463"/>
    </row>
    <row r="18" spans="1:7" ht="14.25" thickTop="1" thickBot="1">
      <c r="A18" s="848" t="str">
        <f>Datos!A18</f>
        <v>TOTAL</v>
      </c>
      <c r="B18" s="858">
        <f>IF(ISNUMBER(NºAsuntos!G18/NºAsuntos!E18),NºAsuntos!G18/NºAsuntos!E18," - ")</f>
        <v>0.89620516374978343</v>
      </c>
      <c r="C18" s="859">
        <f>IF(ISNUMBER(NºAsuntos!I18/NºAsuntos!G18),NºAsuntos!I18/NºAsuntos!G18," - ")</f>
        <v>0.90448569218870845</v>
      </c>
      <c r="D18" s="862">
        <f>IF(ISNUMBER('Resol  Asuntos'!D18/NºAsuntos!G18),'Resol  Asuntos'!D18/NºAsuntos!G18," - ")</f>
        <v>8.9907192575406039E-2</v>
      </c>
      <c r="E18" s="861">
        <f>IF(ISNUMBER((NºAsuntos!C18+NºAsuntos!E18)/NºAsuntos!G18),(NºAsuntos!C18+NºAsuntos!E18)/NºAsuntos!G18," - ")</f>
        <v>1.8905645784996132</v>
      </c>
      <c r="G18" s="463"/>
    </row>
    <row r="19" spans="1:7" ht="15.75" customHeight="1" thickTop="1" thickBot="1">
      <c r="A19" s="793" t="str">
        <f>Datos!A19</f>
        <v>TOTAL JURISDICCIONES</v>
      </c>
      <c r="B19" s="808">
        <f>IF(ISNUMBER(NºAsuntos!G19/NºAsuntos!E19),NºAsuntos!G19/NºAsuntos!E19," - ")</f>
        <v>0.9013477088948787</v>
      </c>
      <c r="C19" s="809">
        <f>IF(ISNUMBER(NºAsuntos!I19/NºAsuntos!G19),NºAsuntos!I19/NºAsuntos!G19," - ")</f>
        <v>1.8825358851674641</v>
      </c>
      <c r="D19" s="810">
        <f>IF(ISNUMBER('Resol  Asuntos'!D19/NºAsuntos!G19),'Resol  Asuntos'!D19/NºAsuntos!G19," - ")</f>
        <v>0.13564593301435407</v>
      </c>
      <c r="E19" s="811">
        <f>IF(ISNUMBER((NºAsuntos!C19+NºAsuntos!E19)/NºAsuntos!G19),(NºAsuntos!C19+NºAsuntos!E19)/NºAsuntos!G19," - ")</f>
        <v>2.8739234449760764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ZaIIAa3mu+KS+oC4cWwa/9q6IwoEjRyZ3VUjwj/s4hKlw/kepkXklN2BYJbroaJcV8uJzbUhT7GkLLDiZCVkA==" saltValue="kQYRx1sTMM7dALHYtOzGD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MARBELLA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8</v>
      </c>
      <c r="B9" s="177" t="s">
        <v>246</v>
      </c>
      <c r="C9" s="160" t="str">
        <f>Datos!A9</f>
        <v xml:space="preserve">Jdos. 1ª Instancia   </v>
      </c>
      <c r="D9" s="160"/>
      <c r="E9" s="1025">
        <f>IF(ISNUMBER(Datos!AQ9),Datos!AQ9," - ")</f>
        <v>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719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619</v>
      </c>
      <c r="Y9" s="334">
        <f>SUM(W9:X9)</f>
        <v>619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10727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661</v>
      </c>
      <c r="AJ9" s="229" t="str">
        <f>IF(ISNUMBER(Datos!BW9),Datos!BW9," - ")</f>
        <v xml:space="preserve"> - </v>
      </c>
      <c r="AK9" s="228" t="str">
        <f>IF(ISNUMBER(Datos!BX9),Datos!BX9," - ")</f>
        <v xml:space="preserve"> - </v>
      </c>
      <c r="AL9" s="243">
        <f>IF(ISNUMBER(NºAsuntos!G9/NºAsuntos!E9),NºAsuntos!G9/NºAsuntos!E9," - ")</f>
        <v>0.90663960568280666</v>
      </c>
      <c r="AM9" s="260">
        <f>IF(ISNUMBER(((NºAsuntos!I9/NºAsuntos!G9)*11)/factor_trimestre),((NºAsuntos!I9/NºAsuntos!G9)*11)/factor_trimestre," - ")</f>
        <v>10.530220658778383</v>
      </c>
      <c r="AN9" s="244">
        <f>IF(ISNUMBER('Resol  Asuntos'!D9/NºAsuntos!G9),'Resol  Asuntos'!D9/NºAsuntos!G9," - ")</f>
        <v>0.21138471378317877</v>
      </c>
      <c r="AO9" s="245">
        <f>IF(ISNUMBER((NºAsuntos!C9+NºAsuntos!E9)/NºAsuntos!G9),(NºAsuntos!C9+NºAsuntos!E9)/NºAsuntos!G9," - ")</f>
        <v>4.5100735529261273</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90</v>
      </c>
      <c r="G10" s="333">
        <f>IF(ISNUMBER(Datos!I10),Datos!I10," - ")</f>
        <v>90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61</v>
      </c>
      <c r="X10" s="226">
        <f>IF(ISNUMBER(Datos!Q10),Datos!Q10," - ")</f>
        <v>0</v>
      </c>
      <c r="Y10" s="334">
        <f t="shared" ref="Y10:Y12" si="0">SUM(W10:X10)</f>
        <v>61</v>
      </c>
      <c r="Z10" s="335" t="str">
        <f>IF(ISNUMBER(Datos!CC10),Datos!CC10," - ")</f>
        <v xml:space="preserve"> - </v>
      </c>
      <c r="AA10" s="332">
        <f>IF(ISNUMBER(Datos!L10),Datos!L10,"-")</f>
        <v>84</v>
      </c>
      <c r="AB10" s="334">
        <f>IF(ISNUMBER(Datos!R10),Datos!R10," - ")</f>
        <v>46</v>
      </c>
      <c r="AC10" s="334">
        <f t="shared" ref="AC10:AC12" si="1">IF(ISNUMBER(AA10+AB10),AA10+AB10," - ")</f>
        <v>130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1.1090909090909091</v>
      </c>
      <c r="AM10" s="260">
        <f>IF(ISNUMBER(((NºAsuntos!I10/NºAsuntos!G10)*11)/factor_trimestre),((NºAsuntos!I10/NºAsuntos!G10)*11)/factor_trimestre," - ")</f>
        <v>4.1311475409836067</v>
      </c>
      <c r="AN10" s="244">
        <f>IF(ISNUMBER('Resol  Asuntos'!D10/NºAsuntos!G10),'Resol  Asuntos'!D10/NºAsuntos!G10," - ")</f>
        <v>0.13114754098360656</v>
      </c>
      <c r="AO10" s="245">
        <f>IF(ISNUMBER((NºAsuntos!C10+NºAsuntos!E10)/NºAsuntos!G10),(NºAsuntos!C10+NºAsuntos!E10)/NºAsuntos!G10," - ")</f>
        <v>2.377049180327869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90</v>
      </c>
      <c r="G13" s="866">
        <f t="shared" si="3"/>
        <v>90</v>
      </c>
      <c r="H13" s="865">
        <f t="shared" si="3"/>
        <v>0</v>
      </c>
      <c r="I13" s="867">
        <f t="shared" si="3"/>
        <v>0</v>
      </c>
      <c r="J13" s="867">
        <f t="shared" si="3"/>
        <v>0</v>
      </c>
      <c r="K13" s="867">
        <f t="shared" si="3"/>
        <v>0</v>
      </c>
      <c r="L13" s="867">
        <f t="shared" si="3"/>
        <v>728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61</v>
      </c>
      <c r="X13" s="867">
        <f t="shared" si="4"/>
        <v>619</v>
      </c>
      <c r="Y13" s="868">
        <f t="shared" si="4"/>
        <v>680</v>
      </c>
      <c r="Z13" s="868">
        <f t="shared" si="4"/>
        <v>0</v>
      </c>
      <c r="AA13" s="868">
        <f t="shared" si="4"/>
        <v>84</v>
      </c>
      <c r="AB13" s="868">
        <f t="shared" si="4"/>
        <v>10773</v>
      </c>
      <c r="AC13" s="868">
        <f t="shared" si="4"/>
        <v>130</v>
      </c>
      <c r="AD13" s="868">
        <f t="shared" si="4"/>
        <v>0</v>
      </c>
      <c r="AE13" s="872">
        <f t="shared" si="4"/>
        <v>0</v>
      </c>
      <c r="AF13" s="865">
        <f t="shared" si="4"/>
        <v>0</v>
      </c>
      <c r="AG13" s="873">
        <f t="shared" si="4"/>
        <v>0</v>
      </c>
      <c r="AH13" s="870">
        <f t="shared" si="4"/>
        <v>0</v>
      </c>
      <c r="AI13" s="865">
        <f t="shared" si="4"/>
        <v>669</v>
      </c>
      <c r="AJ13" s="867">
        <f t="shared" si="4"/>
        <v>0</v>
      </c>
      <c r="AK13" s="870">
        <f>SUBTOTAL(9,AK9:AK12)</f>
        <v>0</v>
      </c>
      <c r="AL13" s="874">
        <f>IF(ISNUMBER(NºAsuntos!G13/NºAsuntos!E13),NºAsuntos!G13/NºAsuntos!E13," - ")</f>
        <v>0.90981735159817356</v>
      </c>
      <c r="AM13" s="874">
        <f>IF(ISNUMBER(((NºAsuntos!I13/NºAsuntos!G13)*11)/factor_trimestre),((NºAsuntos!I13/NºAsuntos!G13)*11)/factor_trimestre," - ")</f>
        <v>10.407779171894605</v>
      </c>
      <c r="AN13" s="875">
        <f>IF(ISNUMBER('Resol  Asuntos'!D13/NºAsuntos!G13),'Resol  Asuntos'!D13/NºAsuntos!G13," - ")</f>
        <v>0.20984943538268508</v>
      </c>
      <c r="AO13" s="876">
        <f>IF(ISNUMBER((NºAsuntos!C13+NºAsuntos!E13)/NºAsuntos!G13),(NºAsuntos!C13+NºAsuntos!E13)/NºAsuntos!G13," - ")</f>
        <v>4.4692597239648686</v>
      </c>
      <c r="AP13" s="877" t="str">
        <f t="shared" si="2"/>
        <v xml:space="preserve"> - </v>
      </c>
      <c r="AQ13" s="877">
        <f>IF(ISNUMBER((H13-W13+K13)/(F13)),(H13-W13+K13)/(F13)," - ")</f>
        <v>-0.67777777777777781</v>
      </c>
      <c r="AR13" s="878">
        <f>IF(ISNUMBER((Datos!P13-Datos!Q13)/(Datos!R13-Datos!P13+Datos!Q13)),(Datos!P13-Datos!Q13)/(Datos!R13-Datos!P13+Datos!Q13)," - ")</f>
        <v>1.0221305326331583E-2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3904</v>
      </c>
      <c r="G15" s="333">
        <f>IF(ISNUMBER(IF(D_I="SI",Datos!I15,Datos!I15+Datos!AC15)),IF(D_I="SI",Datos!I15,Datos!I15+Datos!AC15)," - ")</f>
        <v>3832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97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4617</v>
      </c>
      <c r="X15" s="226">
        <f>IF(ISNUMBER(Datos!Q15),Datos!Q15," - ")</f>
        <v>111</v>
      </c>
      <c r="Y15" s="334">
        <f>SUM(W15)</f>
        <v>4617</v>
      </c>
      <c r="Z15" s="335" t="str">
        <f>IF(ISNUMBER(Datos!CC15),Datos!CC15," - ")</f>
        <v xml:space="preserve"> - </v>
      </c>
      <c r="AA15" s="332">
        <f>IF(ISNUMBER(IF(D_I="SI",Datos!L15,Datos!L15+Datos!AF15)),IF(D_I="SI",Datos!L15,Datos!L15+Datos!AF15)," - ")</f>
        <v>4119</v>
      </c>
      <c r="AB15" s="334">
        <f>IF(ISNUMBER(Datos!R15),Datos!R15," - ")</f>
        <v>311</v>
      </c>
      <c r="AC15" s="334">
        <f t="shared" ref="AC15:AC17" si="6">IF(ISNUMBER(AA15+AB15),AA15+AB15," - ")</f>
        <v>4430</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419</v>
      </c>
      <c r="AJ15" s="231" t="str">
        <f>IF(ISNUMBER(Datos!BW15),Datos!BW15," - ")</f>
        <v xml:space="preserve"> - </v>
      </c>
      <c r="AK15" s="232" t="str">
        <f>IF(ISNUMBER(Datos!BX15),Datos!BX15," - ")</f>
        <v xml:space="preserve"> - </v>
      </c>
      <c r="AL15" s="243">
        <f>IF(ISNUMBER(NºAsuntos!G15/NºAsuntos!E15),NºAsuntos!G15/NºAsuntos!E15," - ")</f>
        <v>0.95550496688741726</v>
      </c>
      <c r="AM15" s="260">
        <f>IF(ISNUMBER(((NºAsuntos!I15/NºAsuntos!G15)*11)/factor_trimestre),((NºAsuntos!I15/NºAsuntos!G15)*11)/factor_trimestre," - ")</f>
        <v>2.6764132553606239</v>
      </c>
      <c r="AN15" s="244">
        <f>IF(ISNUMBER('Resol  Asuntos'!D15/NºAsuntos!G15),'Resol  Asuntos'!D15/NºAsuntos!G15," - ")</f>
        <v>9.0751570283734026E-2</v>
      </c>
      <c r="AO15" s="245">
        <f>IF(ISNUMBER((NºAsuntos!C15+NºAsuntos!E15)/NºAsuntos!G15),(NºAsuntos!C15+NºAsuntos!E15)/NºAsuntos!G15," - ")</f>
        <v>1.8765432098765431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175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555</v>
      </c>
      <c r="X17" s="226">
        <f>IF(ISNUMBER(Datos!Q17),Datos!Q17," - ")</f>
        <v>18</v>
      </c>
      <c r="Y17" s="334">
        <f t="shared" si="7"/>
        <v>573</v>
      </c>
      <c r="Z17" s="335" t="str">
        <f>IF(ISNUMBER(Datos!CC17),Datos!CC17," - ")</f>
        <v xml:space="preserve"> - </v>
      </c>
      <c r="AA17" s="332">
        <f>IF(ISNUMBER(Datos!L17),Datos!L17,"-")</f>
        <v>559</v>
      </c>
      <c r="AB17" s="334">
        <f>IF(ISNUMBER(Datos!R17),Datos!R17," - ")</f>
        <v>48</v>
      </c>
      <c r="AC17" s="334">
        <f t="shared" si="6"/>
        <v>607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46</v>
      </c>
      <c r="AJ17" s="231" t="str">
        <f>IF(ISNUMBER(Datos!BW17),Datos!BW17," - ")</f>
        <v xml:space="preserve"> - </v>
      </c>
      <c r="AK17" s="232" t="str">
        <f>IF(ISNUMBER(Datos!BX17),Datos!BX17," - ")</f>
        <v xml:space="preserve"> - </v>
      </c>
      <c r="AL17" s="243">
        <f>IF(ISNUMBER(NºAsuntos!G17/NºAsuntos!E17),NºAsuntos!G17/NºAsuntos!E17," - ")</f>
        <v>0.59105431309904155</v>
      </c>
      <c r="AM17" s="260">
        <f>IF(ISNUMBER(((NºAsuntos!I17/NºAsuntos!G17)*11)/factor_trimestre),((NºAsuntos!I17/NºAsuntos!G17)*11)/factor_trimestre," - ")</f>
        <v>3.0216216216216214</v>
      </c>
      <c r="AN17" s="244">
        <f>IF(ISNUMBER('Resol  Asuntos'!D17/NºAsuntos!G17),'Resol  Asuntos'!D17/NºAsuntos!G17," - ")</f>
        <v>8.2882882882882883E-2</v>
      </c>
      <c r="AO17" s="245">
        <f>IF(ISNUMBER((NºAsuntos!C17+NºAsuntos!E17)/NºAsuntos!G17),(NºAsuntos!C17+NºAsuntos!E17)/NºAsuntos!G17," - ")</f>
        <v>2.0072072072072071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3904</v>
      </c>
      <c r="G18" s="866">
        <f>SUBTOTAL(9,G15:G17)</f>
        <v>4007</v>
      </c>
      <c r="H18" s="865">
        <f t="shared" ref="H18:O18" si="10">SUBTOTAL(9,H14:H17)</f>
        <v>0</v>
      </c>
      <c r="I18" s="867">
        <f t="shared" si="10"/>
        <v>0</v>
      </c>
      <c r="J18" s="867">
        <f t="shared" si="10"/>
        <v>0</v>
      </c>
      <c r="K18" s="867">
        <f t="shared" si="10"/>
        <v>0</v>
      </c>
      <c r="L18" s="867">
        <f t="shared" si="10"/>
        <v>159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5172</v>
      </c>
      <c r="X18" s="867">
        <f t="shared" si="11"/>
        <v>129</v>
      </c>
      <c r="Y18" s="868">
        <f t="shared" si="11"/>
        <v>5190</v>
      </c>
      <c r="Z18" s="868">
        <f t="shared" si="11"/>
        <v>0</v>
      </c>
      <c r="AA18" s="868">
        <f t="shared" si="11"/>
        <v>4678</v>
      </c>
      <c r="AB18" s="868">
        <f t="shared" si="11"/>
        <v>359</v>
      </c>
      <c r="AC18" s="868">
        <f t="shared" si="11"/>
        <v>5037</v>
      </c>
      <c r="AD18" s="868">
        <f t="shared" si="11"/>
        <v>0</v>
      </c>
      <c r="AE18" s="872">
        <f t="shared" si="11"/>
        <v>0</v>
      </c>
      <c r="AF18" s="865">
        <f t="shared" si="11"/>
        <v>0</v>
      </c>
      <c r="AG18" s="873">
        <f t="shared" si="11"/>
        <v>0</v>
      </c>
      <c r="AH18" s="870">
        <f t="shared" si="11"/>
        <v>0</v>
      </c>
      <c r="AI18" s="865">
        <f t="shared" si="11"/>
        <v>465</v>
      </c>
      <c r="AJ18" s="867">
        <f t="shared" si="11"/>
        <v>0</v>
      </c>
      <c r="AK18" s="870">
        <f t="shared" si="11"/>
        <v>0</v>
      </c>
      <c r="AL18" s="874">
        <f>IF(ISNUMBER(NºAsuntos!G18/NºAsuntos!E18),NºAsuntos!G18/NºAsuntos!E18," - ")</f>
        <v>0.89620516374978343</v>
      </c>
      <c r="AM18" s="874">
        <f>IF(ISNUMBER(((NºAsuntos!I18/NºAsuntos!G18)*11)/factor_trimestre),((NºAsuntos!I18/NºAsuntos!G18)*11)/factor_trimestre," - ")</f>
        <v>2.7134570765661254</v>
      </c>
      <c r="AN18" s="875">
        <f>IF(ISNUMBER('Resol  Asuntos'!D18/NºAsuntos!G18),'Resol  Asuntos'!D18/NºAsuntos!G18," - ")</f>
        <v>8.9907192575406039E-2</v>
      </c>
      <c r="AO18" s="876">
        <f>IF(ISNUMBER((NºAsuntos!C18+NºAsuntos!E18)/NºAsuntos!G18),(NºAsuntos!C18+NºAsuntos!E18)/NºAsuntos!G18," - ")</f>
        <v>1.8905645784996132</v>
      </c>
      <c r="AP18" s="877" t="str">
        <f t="shared" si="2"/>
        <v xml:space="preserve"> - </v>
      </c>
      <c r="AQ18" s="877">
        <f>IF(ISNUMBER((H18-W18+K18)/(F18)),(H18-W18+K18)/(F18)," - ")</f>
        <v>-1.3247950819672132</v>
      </c>
      <c r="AR18" s="878">
        <f>IF(ISNUMBER((Datos!P18-Datos!Q18)/(Datos!R18-Datos!P18+Datos!Q18)),(Datos!P18-Datos!Q18)/(Datos!R18-Datos!P18+Datos!Q18)," - ")</f>
        <v>9.1185410334346503E-2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3994</v>
      </c>
      <c r="G19" s="821">
        <f t="shared" si="13"/>
        <v>4097</v>
      </c>
      <c r="H19" s="820">
        <f t="shared" si="13"/>
        <v>0</v>
      </c>
      <c r="I19" s="822">
        <f t="shared" si="13"/>
        <v>0</v>
      </c>
      <c r="J19" s="822">
        <f t="shared" si="13"/>
        <v>0</v>
      </c>
      <c r="K19" s="881">
        <f t="shared" si="13"/>
        <v>0</v>
      </c>
      <c r="L19" s="822">
        <f t="shared" si="13"/>
        <v>887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5233</v>
      </c>
      <c r="X19" s="821">
        <f t="shared" si="14"/>
        <v>748</v>
      </c>
      <c r="Y19" s="828">
        <f t="shared" si="14"/>
        <v>5870</v>
      </c>
      <c r="Z19" s="828">
        <f t="shared" si="14"/>
        <v>0</v>
      </c>
      <c r="AA19" s="828">
        <f t="shared" si="14"/>
        <v>4762</v>
      </c>
      <c r="AB19" s="828">
        <f t="shared" si="14"/>
        <v>11132</v>
      </c>
      <c r="AC19" s="828">
        <f t="shared" si="14"/>
        <v>5167</v>
      </c>
      <c r="AD19" s="828">
        <f t="shared" si="14"/>
        <v>0</v>
      </c>
      <c r="AE19" s="830">
        <f t="shared" si="14"/>
        <v>0</v>
      </c>
      <c r="AF19" s="831">
        <f t="shared" si="14"/>
        <v>0</v>
      </c>
      <c r="AG19" s="832">
        <f t="shared" si="14"/>
        <v>0</v>
      </c>
      <c r="AH19" s="830">
        <f t="shared" si="14"/>
        <v>0</v>
      </c>
      <c r="AI19" s="820">
        <f t="shared" si="14"/>
        <v>1134</v>
      </c>
      <c r="AJ19" s="820">
        <f t="shared" si="14"/>
        <v>0</v>
      </c>
      <c r="AK19" s="830">
        <f t="shared" si="14"/>
        <v>0</v>
      </c>
      <c r="AL19" s="884">
        <f>IF(ISNUMBER(NºAsuntos!G19/NºAsuntos!E19),NºAsuntos!G19/NºAsuntos!E19," - ")</f>
        <v>0.9013477088948787</v>
      </c>
      <c r="AM19" s="885">
        <f>IF(ISNUMBER(((NºAsuntos!I19/NºAsuntos!G19)*11)/factor_trimestre),((NºAsuntos!I19/NºAsuntos!G19)*11)/factor_trimestre," - ")</f>
        <v>5.6476076555023917</v>
      </c>
      <c r="AN19" s="885">
        <f>IF(ISNUMBER('Resol  Asuntos'!D19/NºAsuntos!G19),'Resol  Asuntos'!D19/NºAsuntos!G19," - ")</f>
        <v>0.13564593301435407</v>
      </c>
      <c r="AO19" s="886">
        <f>IF(ISNUMBER((NºAsuntos!C19+NºAsuntos!E19)/NºAsuntos!G19),(NºAsuntos!C19+NºAsuntos!E19)/NºAsuntos!G19," - ")</f>
        <v>2.8739234449760764</v>
      </c>
      <c r="AP19" s="887" t="str">
        <f t="shared" si="2"/>
        <v xml:space="preserve"> - </v>
      </c>
      <c r="AQ19" s="888">
        <f>IF(OR(ISNUMBER(FIND("01",Criterios!A8,1)),ISNUMBER(FIND("02",Criterios!A8,1)),ISNUMBER(FIND("03",Criterios!A8,1)),ISNUMBER(FIND("04",Criterios!A8,1))),(I19-W19+K19)/(F19-K19),(H19-W19+K19)/(F19-K19))</f>
        <v>-1.3102153229844766</v>
      </c>
      <c r="AR19" s="889">
        <f>IF(ISNUMBER((Datos!P19-Datos!Q19)/(Datos!R19-Datos!P19+Datos!Q19)),(Datos!P19-Datos!Q19)/(Datos!R19-Datos!P19+Datos!Q19)," - ")</f>
        <v>1.2644410079141272E-2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1638.8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3.6742346141747673</v>
      </c>
      <c r="F21" s="252">
        <f>IF(ISNUMBER(STDEV(F8:F18)),STDEV(F8:F18),"-")</f>
        <v>2202.0139266892324</v>
      </c>
      <c r="G21" s="253">
        <f>IF(ISNUMBER(STDEV(G8:G18)),STDEV(G8:G18),"-")</f>
        <v>2083.1929099341714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2572.6595577339804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290.22198400534717</v>
      </c>
      <c r="AJ21" s="252">
        <f t="shared" si="18"/>
        <v>0</v>
      </c>
      <c r="AK21" s="254">
        <f t="shared" si="18"/>
        <v>0</v>
      </c>
      <c r="AL21" s="249">
        <f t="shared" si="18"/>
        <v>0.16866224295402787</v>
      </c>
      <c r="AM21" s="250">
        <f t="shared" si="18"/>
        <v>3.8237283879883273</v>
      </c>
      <c r="AN21" s="250">
        <f t="shared" si="18"/>
        <v>6.0255348271098325E-2</v>
      </c>
      <c r="AO21" s="251">
        <f t="shared" si="18"/>
        <v>1.279046974810327</v>
      </c>
      <c r="AP21" s="291" t="str">
        <f t="shared" si="18"/>
        <v>-</v>
      </c>
      <c r="AQ21" s="292">
        <f t="shared" si="18"/>
        <v>0.45751032333738872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YrWyHlufWeomdQ9+Q/lwrrNLjZL/goaK5R+nJ8QZ4+ar3sMyej24ptvU8NqwBtUaiYcD6I40BtS2fOFJhxWP+w==" saltValue="476A3D5d+xGQ91AT+vevo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MARBELLA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0.30118110236220474</v>
      </c>
      <c r="I9" s="350">
        <f>IF(ISNUMBER((Tasas!C9-Datos!BE9)/Datos!BE9),(Tasas!C9-Datos!BE9)/Datos!BE9," - ")</f>
        <v>-0.2277065890151535</v>
      </c>
      <c r="J9" s="349">
        <f>IF(ISNUMBER((Tasas!D9-Datos!BF9)/Datos!BF9),(Tasas!D9-Datos!BF9)/Datos!BF9," - ")</f>
        <v>-0.3365957627346744</v>
      </c>
      <c r="K9" s="351">
        <f>IF(ISNUMBER((Tasas!E9-Datos!BG9)/Datos!BG9),(Tasas!E9-Datos!BG9)/Datos!BG9," - ")</f>
        <v>-0.18570686775236114</v>
      </c>
      <c r="M9" t="e">
        <f>IF(Monitorios="SI",Datos!CE9,0)</f>
        <v>#REF!</v>
      </c>
      <c r="N9" t="e">
        <f>IF(Monitorios="SI",Datos!CF9,0)</f>
        <v>#REF!</v>
      </c>
      <c r="O9" t="e">
        <f>IF(Monitorios="SI",Datos!CG9,0)</f>
        <v>#REF!</v>
      </c>
      <c r="P9" t="e">
        <f>IF(Monitorios="SI",Datos!CH9,0)</f>
        <v>#REF!</v>
      </c>
      <c r="Q9">
        <f>IF(J_V="SI",0,Datos!AG9)</f>
        <v>321</v>
      </c>
      <c r="R9">
        <f>IF(J_V="SI",0,Datos!AH9)</f>
        <v>128</v>
      </c>
      <c r="S9">
        <f>IF(J_V="SI",0,Datos!AI9)</f>
        <v>148</v>
      </c>
      <c r="T9">
        <f>IF(J_V="SI",0,Datos!AJ9)</f>
        <v>292</v>
      </c>
    </row>
    <row r="10" spans="2:20" ht="14.25">
      <c r="B10" s="275" t="s">
        <v>246</v>
      </c>
      <c r="C10" s="7" t="str">
        <f>Datos!A10</f>
        <v>Jdos. Violencia contra la mujer</v>
      </c>
      <c r="D10" s="352">
        <f>IF(ISNUMBER((Datos!I10-Datos!S10)/Datos!S10),(Datos!I10-Datos!S10)/Datos!S10," - ")</f>
        <v>0.15384615384615385</v>
      </c>
      <c r="E10" s="348">
        <f>IF(ISNUMBER((Datos!J10-Datos!T10)/Datos!T10),(Datos!J10-Datos!T10)/Datos!T10," - ")</f>
        <v>0.25</v>
      </c>
      <c r="F10" s="348">
        <f>IF(ISNUMBER((Datos!K10-Datos!U10)/Datos!U10),(Datos!K10-Datos!U10)/Datos!U10," - ")</f>
        <v>0.38636363636363635</v>
      </c>
      <c r="G10" s="349">
        <f>IF(ISNUMBER((Datos!L10-Datos!V10)/Datos!V10),(Datos!L10-Datos!V10)/Datos!V10," - ")</f>
        <v>7.6923076923076927E-2</v>
      </c>
      <c r="H10" s="230">
        <f>IF(ISNUMBER((Datos!M10-Datos!W10)/Datos!W10),(Datos!M10-Datos!W10)/Datos!W10," - ")</f>
        <v>-0.46666666666666667</v>
      </c>
      <c r="I10" s="350">
        <f>IF(ISNUMBER((Tasas!C10-Datos!BE10)/Datos!BE10),(Tasas!C10-Datos!BE10)/Datos!BE10," - ")</f>
        <v>-0.223203026481715</v>
      </c>
      <c r="J10" s="349">
        <f>IF(ISNUMBER((Tasas!D10-Datos!BF10)/Datos!BF10),(Tasas!D10-Datos!BF10)/Datos!BF10," - ")</f>
        <v>-0.6153005464480874</v>
      </c>
      <c r="K10" s="351">
        <f>IF(ISNUMBER((Tasas!E10-Datos!BG10)/Datos!BG10),(Tasas!E10-Datos!BG10)/Datos!BG10," - ")</f>
        <v>-0.14270357430798172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0.27915869980879543</v>
      </c>
      <c r="I13" s="357">
        <f>IF(ISNUMBER((Tasas!C13-Datos!BE13)/Datos!BE13),(Tasas!C13-Datos!BE13)/Datos!BE13," - ")</f>
        <v>-0.22744677775358094</v>
      </c>
      <c r="J13" s="355">
        <f>IF(ISNUMBER((Tasas!D13-Datos!BF13)/Datos!BF13),(Tasas!D13-Datos!BF13)/Datos!BF13," - ")</f>
        <v>-0.34231545670566299</v>
      </c>
      <c r="K13" s="358">
        <f>IF(ISNUMBER((Tasas!E13-Datos!BG13)/Datos!BG13),(Tasas!E13-Datos!BG13)/Datos!BG13," - ")</f>
        <v>-0.18509638249962093</v>
      </c>
      <c r="M13" t="e">
        <f>IF(Monitorios="SI",Datos!CE13,0)</f>
        <v>#REF!</v>
      </c>
      <c r="N13" t="e">
        <f>IF(Monitorios="SI",Datos!CF13,0)</f>
        <v>#REF!</v>
      </c>
      <c r="O13" t="e">
        <f>IF(Monitorios="SI",Datos!CG13,0)</f>
        <v>#REF!</v>
      </c>
      <c r="P13" t="e">
        <f>IF(Monitorios="SI",Datos!CH13,0)</f>
        <v>#REF!</v>
      </c>
      <c r="Q13">
        <f>IF(J_V="SI",0,Datos!AG13)</f>
        <v>321</v>
      </c>
      <c r="R13">
        <f>IF(J_V="SI",0,Datos!AH13)</f>
        <v>128</v>
      </c>
      <c r="S13">
        <f>IF(J_V="SI",0,Datos!AI13)</f>
        <v>148</v>
      </c>
      <c r="T13">
        <f>IF(J_V="SI",0,Datos!AJ13)</f>
        <v>292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0.15665559915484456</v>
      </c>
      <c r="E15" s="348">
        <f>IF(ISNUMBER(
   IF(D_I="SI",(Datos!J15-Datos!T15)/Datos!T15,(Datos!J15+Datos!AD15-(Datos!T15+Datos!AL15))/(Datos!T15+Datos!AL15))
     ),IF(D_I="SI",(Datos!J15-Datos!T15)/Datos!T15,(Datos!J15+Datos!AD15-(Datos!T15+Datos!AL15))/(Datos!T15+Datos!AL15))," - ")</f>
        <v>9.7433568021803321E-2</v>
      </c>
      <c r="F15" s="348">
        <f>IF(ISNUMBER(
   IF(D_I="SI",(Datos!K15-Datos!U15)/Datos!U15,(Datos!K15+Datos!AE15-(Datos!U15+Datos!AM15))/(Datos!U15+Datos!AM15))
     ),IF(D_I="SI",(Datos!K15-Datos!U15)/Datos!U15,(Datos!K15+Datos!AE15-(Datos!U15+Datos!AM15))/(Datos!U15+Datos!AM15))," - ")</f>
        <v>0.18142272262026612</v>
      </c>
      <c r="G15" s="349">
        <f>IF(ISNUMBER(
   IF(D_I="SI",(Datos!L15-Datos!V15)/Datos!V15,(Datos!L15+Datos!AF15-(Datos!V15+Datos!AN15))/(Datos!V15+Datos!AN15))
     ),IF(D_I="SI",(Datos!L15-Datos!V15)/Datos!V15,(Datos!L15+Datos!AF15-(Datos!V15+Datos!AN15))/(Datos!V15+Datos!AN15))," - ")</f>
        <v>5.5342044581091467E-2</v>
      </c>
      <c r="H15" s="230">
        <f>IF(ISNUMBER((Datos!M15-Datos!W15)/Datos!W15),(Datos!M15-Datos!W15)/Datos!W15," - ")</f>
        <v>2.6960784313725492E-2</v>
      </c>
      <c r="I15" s="350">
        <f>IF(ISNUMBER((Tasas!C15-Datos!BE15)/Datos!BE15),(Tasas!C15-Datos!BE15)/Datos!BE15," - ")</f>
        <v>-0.10671936100868412</v>
      </c>
      <c r="J15" s="349">
        <f>IF(ISNUMBER((Tasas!D15-Datos!BF15)/Datos!BF15),(Tasas!D15-Datos!BF15)/Datos!BF15," - ")</f>
        <v>-0.13074231208619466</v>
      </c>
      <c r="K15" s="351">
        <f>IF(ISNUMBER((Tasas!E15-Datos!BG15)/Datos!BG15),(Tasas!E15-Datos!BG15)/Datos!BG15," - ")</f>
        <v>-4.9568317237230389E-2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0.62037037037037035</v>
      </c>
      <c r="E17" s="348">
        <f>IF(ISNUMBER(
   IF(D_I="SI",(Datos!J17-Datos!T17)/Datos!T17,(Datos!J17+Datos!AD17-(Datos!T17+Datos!AL17))/(Datos!T17+Datos!AL17))
     ),IF(D_I="SI",(Datos!J17-Datos!T17)/Datos!T17,(Datos!J17+Datos!AD17-(Datos!T17+Datos!AL17))/(Datos!T17+Datos!AL17))," - ")</f>
        <v>2.0096153846153846</v>
      </c>
      <c r="F17" s="348">
        <f>IF(ISNUMBER(
   IF(D_I="SI",(Datos!K17-Datos!U17)/Datos!U17,(Datos!K17+Datos!AE17-(Datos!U17+Datos!AM17))/(Datos!U17+Datos!AM17))
     ),IF(D_I="SI",(Datos!K17-Datos!U17)/Datos!U17,(Datos!K17+Datos!AE17-(Datos!U17+Datos!AM17))/(Datos!U17+Datos!AM17))," - ")</f>
        <v>0.65671641791044777</v>
      </c>
      <c r="G17" s="349">
        <f>IF(ISNUMBER(
   IF(D_I="SI",(Datos!L17-Datos!V17)/Datos!V17,(Datos!L17+Datos!AF17-(Datos!V17+Datos!AN17))/(Datos!V17+Datos!AN17))
     ),IF(D_I="SI",(Datos!L17-Datos!V17)/Datos!V17,(Datos!L17+Datos!AF17-(Datos!V17+Datos!AN17))/(Datos!V17+Datos!AN17))," - ")</f>
        <v>4.9468085106382977</v>
      </c>
      <c r="H17" s="230">
        <f>IF(ISNUMBER((Datos!M17-Datos!W17)/Datos!W17),(Datos!M17-Datos!W17)/Datos!W17," - ")</f>
        <v>0.35294117647058826</v>
      </c>
      <c r="I17" s="350">
        <f>IF(ISNUMBER((Tasas!C17-Datos!BE17)/Datos!BE17),(Tasas!C17-Datos!BE17)/Datos!BE17," - ")</f>
        <v>2.5895150469618549</v>
      </c>
      <c r="J17" s="349">
        <f>IF(ISNUMBER((Tasas!D17-Datos!BF17)/Datos!BF17),(Tasas!D17-Datos!BF17)/Datos!BF17," - ")</f>
        <v>-0.18335983041865389</v>
      </c>
      <c r="K17" s="351">
        <f>IF(ISNUMBER((Tasas!E17-Datos!BG17)/Datos!BG17),(Tasas!E17-Datos!BG17)/Datos!BG17," - ")</f>
        <v>0.60098670098670082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0.17129494299912307</v>
      </c>
      <c r="E18" s="354">
        <f>IF(ISNUMBER(
   IF(D_I="SI",(Datos!J18-Datos!T18)/Datos!T18,(Datos!J18+Datos!AD18-(Datos!T18+Datos!AL18))/(Datos!T18+Datos!AL18))
     ),IF(D_I="SI",(Datos!J18-Datos!T18)/Datos!T18,(Datos!J18+Datos!AD18-(Datos!T18+Datos!AL18))/(Datos!T18+Datos!AL18))," - ")</f>
        <v>0.22396606574761399</v>
      </c>
      <c r="F18" s="354">
        <f>IF(ISNUMBER(
   IF(D_I="SI",(Datos!K18-Datos!U18)/Datos!U18,(Datos!K18+Datos!AE18-(Datos!U18+Datos!AM18))/(Datos!U18+Datos!AM18))
     ),IF(D_I="SI",(Datos!K18-Datos!U18)/Datos!U18,(Datos!K18+Datos!AE18-(Datos!U18+Datos!AM18))/(Datos!U18+Datos!AM18))," - ")</f>
        <v>0.21894885694084373</v>
      </c>
      <c r="G18" s="355">
        <f>IF(ISNUMBER(
   IF(D_I="SI",(Datos!L18-Datos!V18)/Datos!V18,(Datos!L18+Datos!AF18-(Datos!V18+Datos!AN18))/(Datos!V18+Datos!AN18))
     ),IF(D_I="SI",(Datos!L18-Datos!V18)/Datos!V18,(Datos!L18+Datos!AF18-(Datos!V18+Datos!AN18))/(Datos!V18+Datos!AN18))," - ")</f>
        <v>0.17037778333750311</v>
      </c>
      <c r="H18" s="356">
        <f>IF(ISNUMBER((Datos!M18-Datos!W18)/Datos!W18),(Datos!M18-Datos!W18)/Datos!W18," - ")</f>
        <v>5.2036199095022627E-2</v>
      </c>
      <c r="I18" s="357">
        <f>IF(ISNUMBER((Tasas!C18-Datos!BE18)/Datos!BE18),(Tasas!C18-Datos!BE18)/Datos!BE18," - ")</f>
        <v>-3.9846687026097088E-2</v>
      </c>
      <c r="J18" s="355">
        <f>IF(ISNUMBER((Tasas!D18-Datos!BF18)/Datos!BF18),(Tasas!D18-Datos!BF18)/Datos!BF18," - ")</f>
        <v>-0.13693163326369273</v>
      </c>
      <c r="K18" s="358">
        <f>IF(ISNUMBER((Tasas!E18-Datos!BG18)/Datos!BG18),(Tasas!E18-Datos!BG18)/Datos!BG18," - ")</f>
        <v>-1.405291217135457E-2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0.15685044310250176</v>
      </c>
      <c r="E19" s="363">
        <f>IF(ISNUMBER(
   IF(J_V="SI",(Datos!J19-Datos!T19)/Datos!T19,(Datos!J19+Datos!Z19-(Datos!T19+Datos!AH19))/(Datos!T19+Datos!AH19))
     ),IF(J_V="SI",(Datos!J19-Datos!T19)/Datos!T19,(Datos!J19+Datos!Z19-(Datos!T19+Datos!AH19))/(Datos!T19+Datos!AH19))," - ")</f>
        <v>0.20579823192927718</v>
      </c>
      <c r="F19" s="363">
        <f>IF(ISNUMBER(
   IF(J_V="SI",(Datos!K19-Datos!U19)/Datos!U19,(Datos!K19+Datos!AA19-(Datos!U19+Datos!AI19))/(Datos!U19+Datos!AI19))
     ),IF(J_V="SI",(Datos!K19-Datos!U19)/Datos!U19,(Datos!K19+Datos!AA19-(Datos!U19+Datos!AI19))/(Datos!U19+Datos!AI19))," - ")</f>
        <v>0.28873130877138892</v>
      </c>
      <c r="G19" s="364">
        <f>IF(ISNUMBER(
   IF(J_V="SI",(Datos!L19-Datos!V19)/Datos!V19,(Datos!L19+Datos!AB19-(Datos!V19+Datos!AJ19))/(Datos!V19+Datos!AJ19))
     ),IF(J_V="SI",(Datos!L19-Datos!V19)/Datos!V19,(Datos!L19+Datos!AB19-(Datos!V19+Datos!AJ19))/(Datos!V19+Datos!AJ19))," - ")</f>
        <v>0.1182322012221117</v>
      </c>
      <c r="H19" s="365">
        <f>IF(ISNUMBER((Datos!M19-Datos!W19)/Datos!W19),(Datos!M19-Datos!W19)/Datos!W19," - ")</f>
        <v>0.17512953367875647</v>
      </c>
      <c r="I19" s="362">
        <f>IF(ISNUMBER((Tasas!C19-Datos!BE19)/Datos!BE19),(Tasas!C19-Datos!BE19)/Datos!BE19," - ")</f>
        <v>-0.13229996539140687</v>
      </c>
      <c r="J19" s="363">
        <f>IF(ISNUMBER((Tasas!D19-Datos!BF19)/Datos!BF19),(Tasas!D19-Datos!BF19)/Datos!BF19," - ")</f>
        <v>-0.24012507127451216</v>
      </c>
      <c r="K19" s="364">
        <f>IF(ISNUMBER((Tasas!E19-Datos!BG19)/Datos!BG19),(Tasas!E19-Datos!BG19)/Datos!BG19," - ")</f>
        <v>-8.8042782979024181E-2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0.2300129773023159</v>
      </c>
      <c r="E21" s="278">
        <f t="shared" si="1"/>
        <v>0.91201214567657851</v>
      </c>
      <c r="F21" s="278">
        <f t="shared" si="1"/>
        <v>0.21642393928779485</v>
      </c>
      <c r="G21" s="279">
        <f t="shared" si="1"/>
        <v>2.4234780716131281</v>
      </c>
      <c r="H21" s="285">
        <f t="shared" si="1"/>
        <v>0.30489482018907149</v>
      </c>
      <c r="I21" s="277">
        <f t="shared" si="1"/>
        <v>1.1272091524359453</v>
      </c>
      <c r="J21" s="278">
        <f t="shared" si="1"/>
        <v>0.18487238490735697</v>
      </c>
      <c r="K21" s="279">
        <f t="shared" si="1"/>
        <v>0.30095071567815257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ONnwDiuz2WZdDAw4LCWogzsI8vjpVSPc5uEEndjCeEOJn8W3SsIIYUx8+gAaTMCcM/O61UdqlbtECiUGrPgHQ==" saltValue="mpH45SlmhfFefftDYQlUF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